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Energy\Fuel Mix\FMD 2018\Charts and tables 2017\"/>
    </mc:Choice>
  </mc:AlternateContent>
  <bookViews>
    <workbookView xWindow="0" yWindow="0" windowWidth="23040" windowHeight="11364" tabRatio="758"/>
  </bookViews>
  <sheets>
    <sheet name="Publish To Web" sheetId="8" r:id="rId1"/>
    <sheet name="State Agg Fuel Mix 2000-2017" sheetId="2" r:id="rId2"/>
    <sheet name="Fossil Fuel Emissions" sheetId="3" r:id="rId3"/>
    <sheet name="Updates" sheetId="6" r:id="rId4"/>
    <sheet name="Tables" sheetId="9" r:id="rId5"/>
  </sheets>
  <calcPr calcId="162913"/>
</workbook>
</file>

<file path=xl/calcChain.xml><?xml version="1.0" encoding="utf-8"?>
<calcChain xmlns="http://schemas.openxmlformats.org/spreadsheetml/2006/main">
  <c r="D1" i="3" l="1"/>
  <c r="S21" i="8"/>
  <c r="S20" i="8"/>
  <c r="S19" i="8"/>
  <c r="S18" i="8"/>
  <c r="S17" i="8"/>
  <c r="S16" i="8"/>
  <c r="S15" i="8"/>
  <c r="S11" i="8"/>
  <c r="S10" i="8"/>
  <c r="S9" i="8"/>
  <c r="S8" i="8"/>
  <c r="S7" i="8"/>
  <c r="S6" i="8"/>
  <c r="S40" i="2" l="1"/>
  <c r="S53" i="2" s="1"/>
  <c r="S41" i="2"/>
  <c r="S42" i="2"/>
  <c r="S43" i="2"/>
  <c r="S44" i="2"/>
  <c r="S45" i="2"/>
  <c r="S46" i="2"/>
  <c r="S47" i="2"/>
  <c r="S48" i="2"/>
  <c r="S49" i="2"/>
  <c r="S50" i="2"/>
  <c r="S51" i="2"/>
  <c r="S52" i="2"/>
  <c r="N69" i="9" l="1"/>
  <c r="N70" i="9"/>
  <c r="N71" i="9"/>
  <c r="N73" i="9"/>
  <c r="N74" i="9"/>
  <c r="Q33" i="3"/>
  <c r="Q34" i="3"/>
  <c r="Q35" i="3"/>
  <c r="Q36" i="3"/>
  <c r="Q37" i="3"/>
  <c r="N72" i="9" s="1"/>
  <c r="Q38" i="3"/>
  <c r="Q39" i="3"/>
  <c r="Q40" i="3"/>
  <c r="N75" i="9" s="1"/>
  <c r="Q42" i="3"/>
  <c r="Q43" i="3"/>
  <c r="Q46" i="3"/>
  <c r="Q47" i="3"/>
  <c r="Q50" i="3"/>
  <c r="Q51" i="3"/>
  <c r="Q11" i="3"/>
  <c r="N59" i="9" l="1"/>
  <c r="N68" i="9" s="1"/>
  <c r="N60" i="9"/>
  <c r="N61" i="9"/>
  <c r="N62" i="9"/>
  <c r="N63" i="9"/>
  <c r="N64" i="9"/>
  <c r="N65" i="9"/>
  <c r="N66" i="9"/>
  <c r="S28" i="2"/>
  <c r="S29" i="2"/>
  <c r="S30" i="2"/>
  <c r="S31" i="2"/>
  <c r="S32" i="2"/>
  <c r="S33" i="2"/>
  <c r="S34" i="2"/>
  <c r="S19" i="2"/>
  <c r="B57" i="8" l="1"/>
  <c r="C57" i="8"/>
  <c r="D57" i="8"/>
  <c r="E57" i="8"/>
  <c r="F57" i="8"/>
  <c r="G57" i="8"/>
  <c r="H57" i="8"/>
  <c r="I57" i="8"/>
  <c r="J57" i="8"/>
  <c r="K57" i="8"/>
  <c r="L57" i="8"/>
  <c r="M57" i="8"/>
  <c r="N57" i="8"/>
  <c r="O57" i="8"/>
  <c r="P57" i="8"/>
  <c r="Q57" i="8"/>
  <c r="A57" i="8"/>
  <c r="R52" i="2"/>
  <c r="R19" i="2"/>
  <c r="U6" i="2"/>
  <c r="V6" i="2" s="1"/>
  <c r="U7" i="2"/>
  <c r="V7" i="2" s="1"/>
  <c r="U8" i="2"/>
  <c r="V8" i="2" s="1"/>
  <c r="U9" i="2"/>
  <c r="V9" i="2" s="1"/>
  <c r="U10" i="2"/>
  <c r="V10" i="2" s="1"/>
  <c r="U11" i="2"/>
  <c r="V11" i="2" s="1"/>
  <c r="U12" i="2"/>
  <c r="V12" i="2" s="1"/>
  <c r="U13" i="2"/>
  <c r="V13" i="2" s="1"/>
  <c r="U14" i="2"/>
  <c r="V14" i="2" s="1"/>
  <c r="U15" i="2"/>
  <c r="V15" i="2" s="1"/>
  <c r="U16" i="2"/>
  <c r="V16" i="2" s="1"/>
  <c r="U17" i="2"/>
  <c r="V17" i="2" s="1"/>
  <c r="U18" i="2"/>
  <c r="V18" i="2" s="1"/>
  <c r="U20" i="2"/>
  <c r="V20" i="2" s="1"/>
  <c r="T7" i="2"/>
  <c r="T8" i="2"/>
  <c r="T9" i="2"/>
  <c r="T10" i="2"/>
  <c r="T11" i="2"/>
  <c r="T12" i="2"/>
  <c r="T13" i="2"/>
  <c r="T14" i="2"/>
  <c r="T15" i="2"/>
  <c r="T16" i="2"/>
  <c r="T17" i="2"/>
  <c r="T18" i="2"/>
  <c r="T20" i="2"/>
  <c r="T6" i="2"/>
  <c r="R21" i="2"/>
  <c r="D21" i="2"/>
  <c r="E21" i="2"/>
  <c r="F21" i="2"/>
  <c r="G21" i="2"/>
  <c r="H21" i="2"/>
  <c r="I21" i="2"/>
  <c r="J21" i="2"/>
  <c r="K21" i="2"/>
  <c r="L21" i="2"/>
  <c r="M21" i="2"/>
  <c r="N21" i="2"/>
  <c r="O21" i="2"/>
  <c r="P21" i="2"/>
  <c r="Q21" i="2"/>
  <c r="C21" i="2"/>
  <c r="B75" i="9"/>
  <c r="B74" i="9"/>
  <c r="B73" i="9"/>
  <c r="B72" i="9"/>
  <c r="B71" i="9"/>
  <c r="B70" i="9"/>
  <c r="B69" i="9"/>
  <c r="B66" i="9"/>
  <c r="B65" i="9"/>
  <c r="B64" i="9"/>
  <c r="B63" i="9"/>
  <c r="B62" i="9"/>
  <c r="B61" i="9"/>
  <c r="B60" i="9"/>
  <c r="AK5" i="3"/>
  <c r="D69" i="9"/>
  <c r="E69" i="9"/>
  <c r="F69" i="9"/>
  <c r="G69" i="9"/>
  <c r="H69" i="9"/>
  <c r="I69" i="9"/>
  <c r="J69" i="9"/>
  <c r="K69" i="9"/>
  <c r="L69" i="9"/>
  <c r="M69" i="9"/>
  <c r="D70" i="9"/>
  <c r="E70" i="9"/>
  <c r="F70" i="9"/>
  <c r="G70" i="9"/>
  <c r="H70" i="9"/>
  <c r="I70" i="9"/>
  <c r="J70" i="9"/>
  <c r="K70" i="9"/>
  <c r="L70" i="9"/>
  <c r="M70" i="9"/>
  <c r="D71" i="9"/>
  <c r="E71" i="9"/>
  <c r="F71" i="9"/>
  <c r="G71" i="9"/>
  <c r="H71" i="9"/>
  <c r="I71" i="9"/>
  <c r="J71" i="9"/>
  <c r="K71" i="9"/>
  <c r="L71" i="9"/>
  <c r="M71" i="9"/>
  <c r="D72" i="9"/>
  <c r="E72" i="9"/>
  <c r="F72" i="9"/>
  <c r="G72" i="9"/>
  <c r="H72" i="9"/>
  <c r="I72" i="9"/>
  <c r="J72" i="9"/>
  <c r="K72" i="9"/>
  <c r="L72" i="9"/>
  <c r="M72" i="9"/>
  <c r="D73" i="9"/>
  <c r="E73" i="9"/>
  <c r="F73" i="9"/>
  <c r="G73" i="9"/>
  <c r="H73" i="9"/>
  <c r="I73" i="9"/>
  <c r="J73" i="9"/>
  <c r="K73" i="9"/>
  <c r="L73" i="9"/>
  <c r="M73" i="9"/>
  <c r="D74" i="9"/>
  <c r="E74" i="9"/>
  <c r="F74" i="9"/>
  <c r="G74" i="9"/>
  <c r="H74" i="9"/>
  <c r="I74" i="9"/>
  <c r="J74" i="9"/>
  <c r="K74" i="9"/>
  <c r="L74" i="9"/>
  <c r="M74" i="9"/>
  <c r="D75" i="9"/>
  <c r="E75" i="9"/>
  <c r="F75" i="9"/>
  <c r="G75" i="9"/>
  <c r="H75" i="9"/>
  <c r="I75" i="9"/>
  <c r="J75" i="9"/>
  <c r="K75" i="9"/>
  <c r="L75" i="9"/>
  <c r="M75" i="9"/>
  <c r="C70" i="9"/>
  <c r="C71" i="9"/>
  <c r="C72" i="9"/>
  <c r="C73" i="9"/>
  <c r="C74" i="9"/>
  <c r="C75" i="9"/>
  <c r="C69" i="9"/>
  <c r="A67" i="9"/>
  <c r="A58" i="9"/>
  <c r="A57" i="9"/>
  <c r="A68" i="9"/>
  <c r="M59" i="9"/>
  <c r="M68" i="9" s="1"/>
  <c r="M60" i="9"/>
  <c r="M61" i="9"/>
  <c r="M62" i="9"/>
  <c r="M63" i="9"/>
  <c r="M64" i="9"/>
  <c r="M65" i="9"/>
  <c r="M66" i="9"/>
  <c r="D59" i="9"/>
  <c r="D68" i="9" s="1"/>
  <c r="E59" i="9"/>
  <c r="E68" i="9" s="1"/>
  <c r="F59" i="9"/>
  <c r="F68" i="9" s="1"/>
  <c r="G59" i="9"/>
  <c r="G68" i="9" s="1"/>
  <c r="H59" i="9"/>
  <c r="H68" i="9" s="1"/>
  <c r="I59" i="9"/>
  <c r="I68" i="9" s="1"/>
  <c r="J59" i="9"/>
  <c r="J68" i="9"/>
  <c r="K59" i="9"/>
  <c r="K68" i="9" s="1"/>
  <c r="L59" i="9"/>
  <c r="L68" i="9" s="1"/>
  <c r="D60" i="9"/>
  <c r="E60" i="9"/>
  <c r="F60" i="9"/>
  <c r="G60" i="9"/>
  <c r="H60" i="9"/>
  <c r="I60" i="9"/>
  <c r="J60" i="9"/>
  <c r="K60" i="9"/>
  <c r="L60" i="9"/>
  <c r="D61" i="9"/>
  <c r="E61" i="9"/>
  <c r="F61" i="9"/>
  <c r="G61" i="9"/>
  <c r="H61" i="9"/>
  <c r="I61" i="9"/>
  <c r="J61" i="9"/>
  <c r="K61" i="9"/>
  <c r="L61" i="9"/>
  <c r="D62" i="9"/>
  <c r="E62" i="9"/>
  <c r="F62" i="9"/>
  <c r="G62" i="9"/>
  <c r="H62" i="9"/>
  <c r="I62" i="9"/>
  <c r="J62" i="9"/>
  <c r="K62" i="9"/>
  <c r="L62" i="9"/>
  <c r="D63" i="9"/>
  <c r="E63" i="9"/>
  <c r="F63" i="9"/>
  <c r="G63" i="9"/>
  <c r="H63" i="9"/>
  <c r="I63" i="9"/>
  <c r="J63" i="9"/>
  <c r="K63" i="9"/>
  <c r="L63" i="9"/>
  <c r="D64" i="9"/>
  <c r="E64" i="9"/>
  <c r="F64" i="9"/>
  <c r="G64" i="9"/>
  <c r="H64" i="9"/>
  <c r="I64" i="9"/>
  <c r="J64" i="9"/>
  <c r="K64" i="9"/>
  <c r="L64" i="9"/>
  <c r="D65" i="9"/>
  <c r="E65" i="9"/>
  <c r="F65" i="9"/>
  <c r="G65" i="9"/>
  <c r="H65" i="9"/>
  <c r="I65" i="9"/>
  <c r="J65" i="9"/>
  <c r="K65" i="9"/>
  <c r="L65" i="9"/>
  <c r="D66" i="9"/>
  <c r="E66" i="9"/>
  <c r="F66" i="9"/>
  <c r="G66" i="9"/>
  <c r="H66" i="9"/>
  <c r="I66" i="9"/>
  <c r="J66" i="9"/>
  <c r="K66" i="9"/>
  <c r="L66" i="9"/>
  <c r="C60" i="9"/>
  <c r="C61" i="9"/>
  <c r="C62" i="9"/>
  <c r="C63" i="9"/>
  <c r="C64" i="9"/>
  <c r="C65" i="9"/>
  <c r="C66" i="9"/>
  <c r="C59" i="9"/>
  <c r="C68" i="9" s="1"/>
  <c r="A66" i="9"/>
  <c r="A75" i="9" s="1"/>
  <c r="A61" i="9"/>
  <c r="A70" i="9" s="1"/>
  <c r="A62" i="9"/>
  <c r="A71" i="9" s="1"/>
  <c r="A63" i="9"/>
  <c r="A72" i="9" s="1"/>
  <c r="A64" i="9"/>
  <c r="A73" i="9" s="1"/>
  <c r="A65" i="9"/>
  <c r="A74" i="9" s="1"/>
  <c r="A60" i="9"/>
  <c r="A69" i="9" s="1"/>
  <c r="O21" i="3"/>
  <c r="P21" i="3"/>
  <c r="N21" i="3"/>
  <c r="O17" i="3"/>
  <c r="P17" i="3"/>
  <c r="N17" i="3"/>
  <c r="O13" i="3"/>
  <c r="P13" i="3"/>
  <c r="N13" i="3"/>
  <c r="N50" i="3"/>
  <c r="O50" i="3"/>
  <c r="P50" i="3"/>
  <c r="M50" i="3"/>
  <c r="N46" i="3"/>
  <c r="O46" i="3"/>
  <c r="P46" i="3"/>
  <c r="M46" i="3"/>
  <c r="N42" i="3"/>
  <c r="O42" i="3"/>
  <c r="P42" i="3"/>
  <c r="M42" i="3"/>
  <c r="N33" i="3"/>
  <c r="O33" i="3"/>
  <c r="P33" i="3"/>
  <c r="M33" i="3"/>
  <c r="O43" i="3"/>
  <c r="P43" i="3"/>
  <c r="O47" i="3"/>
  <c r="P47" i="3"/>
  <c r="O51" i="3"/>
  <c r="P51" i="3"/>
  <c r="O34" i="3"/>
  <c r="P34" i="3"/>
  <c r="O35" i="3"/>
  <c r="P35" i="3"/>
  <c r="O36" i="3"/>
  <c r="P36" i="3"/>
  <c r="O37" i="3"/>
  <c r="P37" i="3"/>
  <c r="O38" i="3"/>
  <c r="P38" i="3"/>
  <c r="O39" i="3"/>
  <c r="P39" i="3"/>
  <c r="O40" i="3"/>
  <c r="P40" i="3"/>
  <c r="P11" i="3"/>
  <c r="Q6" i="8"/>
  <c r="R6" i="8"/>
  <c r="Q7" i="8"/>
  <c r="R7" i="8"/>
  <c r="Q8" i="8"/>
  <c r="R8" i="8"/>
  <c r="Q9" i="8"/>
  <c r="R9" i="8"/>
  <c r="Q10" i="8"/>
  <c r="R10" i="8"/>
  <c r="Q11" i="8"/>
  <c r="R11" i="8"/>
  <c r="Q15" i="8"/>
  <c r="R15" i="8"/>
  <c r="Q16" i="8"/>
  <c r="R16" i="8"/>
  <c r="Q17" i="8"/>
  <c r="R17" i="8"/>
  <c r="Q18" i="8"/>
  <c r="R18" i="8"/>
  <c r="Q19" i="8"/>
  <c r="R19" i="8"/>
  <c r="Q20" i="8"/>
  <c r="R20" i="8"/>
  <c r="R28" i="2"/>
  <c r="R29" i="2"/>
  <c r="R30" i="2"/>
  <c r="R31" i="2"/>
  <c r="R32" i="2"/>
  <c r="R33" i="2"/>
  <c r="R34" i="2"/>
  <c r="U19" i="2"/>
  <c r="V19" i="2" s="1"/>
  <c r="T19" i="2"/>
  <c r="R41" i="2"/>
  <c r="R45" i="2"/>
  <c r="R49" i="2"/>
  <c r="R51" i="2"/>
  <c r="R40" i="2"/>
  <c r="R42" i="2"/>
  <c r="R44" i="2"/>
  <c r="R46" i="2"/>
  <c r="R48" i="2"/>
  <c r="R50" i="2"/>
  <c r="R43" i="2"/>
  <c r="R47" i="2"/>
  <c r="AK6" i="3"/>
  <c r="R21" i="8"/>
  <c r="Q28" i="2"/>
  <c r="Q29" i="2"/>
  <c r="Q30" i="2"/>
  <c r="Q31" i="2"/>
  <c r="Q32" i="2"/>
  <c r="Q33" i="2"/>
  <c r="R53" i="2"/>
  <c r="Q34" i="2"/>
  <c r="AJ5" i="3"/>
  <c r="X5" i="3"/>
  <c r="Y5" i="3"/>
  <c r="Z5" i="3"/>
  <c r="AA5" i="3"/>
  <c r="AB5" i="3"/>
  <c r="AC5" i="3"/>
  <c r="AD5" i="3"/>
  <c r="AE5" i="3"/>
  <c r="AF5" i="3"/>
  <c r="AG5" i="3"/>
  <c r="AH5" i="3"/>
  <c r="AI5" i="3"/>
  <c r="W5" i="3"/>
  <c r="B13" i="8"/>
  <c r="C13" i="8"/>
  <c r="D13" i="8"/>
  <c r="E13" i="8"/>
  <c r="F13" i="8"/>
  <c r="G13" i="8"/>
  <c r="H13" i="8"/>
  <c r="I13" i="8"/>
  <c r="J13" i="8"/>
  <c r="K13" i="8"/>
  <c r="L13" i="8"/>
  <c r="M13" i="8"/>
  <c r="B12" i="8"/>
  <c r="C12" i="8"/>
  <c r="D12" i="8"/>
  <c r="E12" i="8"/>
  <c r="F12" i="8"/>
  <c r="G12" i="8"/>
  <c r="H12" i="8"/>
  <c r="I12" i="8"/>
  <c r="J12" i="8"/>
  <c r="K12" i="8"/>
  <c r="L12" i="8"/>
  <c r="M12" i="8"/>
  <c r="B14" i="8"/>
  <c r="C14" i="8"/>
  <c r="D14" i="8"/>
  <c r="E14" i="8"/>
  <c r="F14" i="8"/>
  <c r="G14" i="8"/>
  <c r="H14" i="8"/>
  <c r="I14" i="8"/>
  <c r="J14" i="8"/>
  <c r="K14" i="8"/>
  <c r="L14" i="8"/>
  <c r="M14" i="8"/>
  <c r="A18" i="8"/>
  <c r="O11" i="3"/>
  <c r="Q19" i="2"/>
  <c r="AJ6" i="3"/>
  <c r="Q40" i="2"/>
  <c r="Q42" i="2"/>
  <c r="Q44" i="2"/>
  <c r="Q46" i="2"/>
  <c r="Q48" i="2"/>
  <c r="Q50" i="2"/>
  <c r="Q52" i="2"/>
  <c r="Q41" i="2"/>
  <c r="Q43" i="2"/>
  <c r="Q45" i="2"/>
  <c r="Q47" i="2"/>
  <c r="Q49" i="2"/>
  <c r="Q51" i="2"/>
  <c r="Q21" i="8"/>
  <c r="H28" i="9"/>
  <c r="H38" i="9" s="1"/>
  <c r="G28" i="9"/>
  <c r="G38" i="9" s="1"/>
  <c r="F28" i="9"/>
  <c r="F38" i="9" s="1"/>
  <c r="E28" i="9"/>
  <c r="E38" i="9" s="1"/>
  <c r="D28" i="9"/>
  <c r="D38" i="9" s="1"/>
  <c r="C28" i="9"/>
  <c r="C38" i="9" s="1"/>
  <c r="G22" i="9"/>
  <c r="F22" i="9"/>
  <c r="H22" i="9"/>
  <c r="E22" i="9"/>
  <c r="D22" i="9"/>
  <c r="C22" i="9"/>
  <c r="Q53" i="2"/>
  <c r="N28" i="2"/>
  <c r="O28" i="2"/>
  <c r="P28" i="2"/>
  <c r="N29" i="2"/>
  <c r="O29" i="2"/>
  <c r="P29" i="2"/>
  <c r="N30" i="2"/>
  <c r="O30" i="2"/>
  <c r="P30" i="2"/>
  <c r="N31" i="2"/>
  <c r="O31" i="2"/>
  <c r="P31" i="2"/>
  <c r="N32" i="2"/>
  <c r="O32" i="2"/>
  <c r="P32" i="2"/>
  <c r="N33" i="2"/>
  <c r="O33" i="2"/>
  <c r="P33" i="2"/>
  <c r="I28" i="2"/>
  <c r="J28" i="2"/>
  <c r="K28" i="2"/>
  <c r="L28" i="2"/>
  <c r="M28" i="2"/>
  <c r="I29" i="2"/>
  <c r="J29" i="2"/>
  <c r="K29" i="2"/>
  <c r="L29" i="2"/>
  <c r="M29" i="2"/>
  <c r="I30" i="2"/>
  <c r="J30" i="2"/>
  <c r="K30" i="2"/>
  <c r="L30" i="2"/>
  <c r="M30" i="2"/>
  <c r="I31" i="2"/>
  <c r="J31" i="2"/>
  <c r="K31" i="2"/>
  <c r="L31" i="2"/>
  <c r="M31" i="2"/>
  <c r="I32" i="2"/>
  <c r="J32" i="2"/>
  <c r="K32" i="2"/>
  <c r="L32" i="2"/>
  <c r="M32" i="2"/>
  <c r="I33" i="2"/>
  <c r="J33" i="2"/>
  <c r="K33" i="2"/>
  <c r="L33" i="2"/>
  <c r="M33" i="2"/>
  <c r="E28" i="2"/>
  <c r="F28" i="2"/>
  <c r="G28" i="2"/>
  <c r="H28" i="2"/>
  <c r="E29" i="2"/>
  <c r="F29" i="2"/>
  <c r="G29" i="2"/>
  <c r="H29" i="2"/>
  <c r="E30" i="2"/>
  <c r="F30" i="2"/>
  <c r="G30" i="2"/>
  <c r="H30" i="2"/>
  <c r="E31" i="2"/>
  <c r="F31" i="2"/>
  <c r="G31" i="2"/>
  <c r="H31" i="2"/>
  <c r="E32" i="2"/>
  <c r="F32" i="2"/>
  <c r="G32" i="2"/>
  <c r="H32" i="2"/>
  <c r="E33" i="2"/>
  <c r="F33" i="2"/>
  <c r="G33" i="2"/>
  <c r="H33" i="2"/>
  <c r="E34" i="2"/>
  <c r="D28" i="2"/>
  <c r="D29" i="2"/>
  <c r="D30" i="2"/>
  <c r="D31" i="2"/>
  <c r="D32" i="2"/>
  <c r="D33" i="2"/>
  <c r="C28" i="2"/>
  <c r="C29" i="2"/>
  <c r="C30" i="2"/>
  <c r="C31" i="2"/>
  <c r="C32" i="2"/>
  <c r="C33" i="2"/>
  <c r="B29" i="2"/>
  <c r="B28" i="2"/>
  <c r="B32" i="2"/>
  <c r="B33" i="2"/>
  <c r="B31" i="2"/>
  <c r="B30" i="2"/>
  <c r="A2" i="8"/>
  <c r="C18" i="8"/>
  <c r="D18" i="8"/>
  <c r="E18" i="8"/>
  <c r="F18" i="8"/>
  <c r="G18" i="8"/>
  <c r="H18" i="8"/>
  <c r="I18" i="8"/>
  <c r="J18" i="8"/>
  <c r="K18" i="8"/>
  <c r="L18" i="8"/>
  <c r="M18" i="8"/>
  <c r="N18" i="8"/>
  <c r="O18" i="8"/>
  <c r="P18" i="8"/>
  <c r="B18" i="8"/>
  <c r="I20" i="8"/>
  <c r="J20" i="8"/>
  <c r="K20" i="8"/>
  <c r="L20" i="8"/>
  <c r="M20" i="8"/>
  <c r="N20" i="8"/>
  <c r="O20" i="8"/>
  <c r="P20" i="8"/>
  <c r="I19" i="8"/>
  <c r="J19" i="8"/>
  <c r="K19" i="8"/>
  <c r="L19" i="8"/>
  <c r="M19" i="8"/>
  <c r="N19" i="8"/>
  <c r="O19" i="8"/>
  <c r="P19" i="8"/>
  <c r="I17" i="8"/>
  <c r="J17" i="8"/>
  <c r="K17" i="8"/>
  <c r="L17" i="8"/>
  <c r="M17" i="8"/>
  <c r="N17" i="8"/>
  <c r="O17" i="8"/>
  <c r="P17" i="8"/>
  <c r="I15" i="8"/>
  <c r="J15" i="8"/>
  <c r="K15" i="8"/>
  <c r="L15" i="8"/>
  <c r="M15" i="8"/>
  <c r="N15" i="8"/>
  <c r="O15" i="8"/>
  <c r="P15" i="8"/>
  <c r="I11" i="8"/>
  <c r="J11" i="8"/>
  <c r="K11" i="8"/>
  <c r="L11" i="8"/>
  <c r="M11" i="8"/>
  <c r="N11" i="8"/>
  <c r="O11" i="8"/>
  <c r="P11" i="8"/>
  <c r="I10" i="8"/>
  <c r="J10" i="8"/>
  <c r="K10" i="8"/>
  <c r="L10" i="8"/>
  <c r="M10" i="8"/>
  <c r="N10" i="8"/>
  <c r="O10" i="8"/>
  <c r="P10" i="8"/>
  <c r="I9" i="8"/>
  <c r="J9" i="8"/>
  <c r="K9" i="8"/>
  <c r="L9" i="8"/>
  <c r="M9" i="8"/>
  <c r="N9" i="8"/>
  <c r="O9" i="8"/>
  <c r="P9" i="8"/>
  <c r="I6" i="8"/>
  <c r="J6" i="8"/>
  <c r="K6" i="8"/>
  <c r="L6" i="8"/>
  <c r="M6" i="8"/>
  <c r="N6" i="8"/>
  <c r="O6" i="8"/>
  <c r="P6" i="8"/>
  <c r="I16" i="8"/>
  <c r="J16" i="8"/>
  <c r="K16" i="8"/>
  <c r="L16" i="8"/>
  <c r="M16" i="8"/>
  <c r="N16" i="8"/>
  <c r="O16" i="8"/>
  <c r="P16" i="8"/>
  <c r="I7" i="8"/>
  <c r="J7" i="8"/>
  <c r="K7" i="8"/>
  <c r="L7" i="8"/>
  <c r="M7" i="8"/>
  <c r="N7" i="8"/>
  <c r="O7" i="8"/>
  <c r="P7" i="8"/>
  <c r="I8" i="8"/>
  <c r="J8" i="8"/>
  <c r="K8" i="8"/>
  <c r="L8" i="8"/>
  <c r="M8" i="8"/>
  <c r="N8" i="8"/>
  <c r="O8" i="8"/>
  <c r="P8" i="8"/>
  <c r="D1" i="8"/>
  <c r="B20" i="8"/>
  <c r="C20" i="8"/>
  <c r="D20" i="8"/>
  <c r="E20" i="8"/>
  <c r="F20" i="8"/>
  <c r="G20" i="8"/>
  <c r="H20" i="8"/>
  <c r="B19" i="8"/>
  <c r="C19" i="8"/>
  <c r="D19" i="8"/>
  <c r="E19" i="8"/>
  <c r="F19" i="8"/>
  <c r="G19" i="8"/>
  <c r="H19" i="8"/>
  <c r="B17" i="8"/>
  <c r="C17" i="8"/>
  <c r="D17" i="8"/>
  <c r="E17" i="8"/>
  <c r="F17" i="8"/>
  <c r="G17" i="8"/>
  <c r="H17" i="8"/>
  <c r="B15" i="8"/>
  <c r="C15" i="8"/>
  <c r="D15" i="8"/>
  <c r="E15" i="8"/>
  <c r="F15" i="8"/>
  <c r="G15" i="8"/>
  <c r="H15" i="8"/>
  <c r="B11" i="8"/>
  <c r="C11" i="8"/>
  <c r="D11" i="8"/>
  <c r="E11" i="8"/>
  <c r="F11" i="8"/>
  <c r="G11" i="8"/>
  <c r="H11" i="8"/>
  <c r="B10" i="8"/>
  <c r="C10" i="8"/>
  <c r="D10" i="8"/>
  <c r="E10" i="8"/>
  <c r="F10" i="8"/>
  <c r="G10" i="8"/>
  <c r="H10" i="8"/>
  <c r="B9" i="8"/>
  <c r="C9" i="8"/>
  <c r="D9" i="8"/>
  <c r="E9" i="8"/>
  <c r="F9" i="8"/>
  <c r="G9" i="8"/>
  <c r="H9" i="8"/>
  <c r="B6" i="8"/>
  <c r="C6" i="8"/>
  <c r="D6" i="8"/>
  <c r="E6" i="8"/>
  <c r="F6" i="8"/>
  <c r="G6" i="8"/>
  <c r="H6" i="8"/>
  <c r="B16" i="8"/>
  <c r="C16" i="8"/>
  <c r="D16" i="8"/>
  <c r="E16" i="8"/>
  <c r="F16" i="8"/>
  <c r="G16" i="8"/>
  <c r="H16" i="8"/>
  <c r="B7" i="8"/>
  <c r="C7" i="8"/>
  <c r="D7" i="8"/>
  <c r="E7" i="8"/>
  <c r="F7" i="8"/>
  <c r="G7" i="8"/>
  <c r="H7" i="8"/>
  <c r="B8" i="8"/>
  <c r="C8" i="8"/>
  <c r="D8" i="8"/>
  <c r="E8" i="8"/>
  <c r="F8" i="8"/>
  <c r="G8" i="8"/>
  <c r="H8" i="8"/>
  <c r="A3" i="8"/>
  <c r="A20" i="8"/>
  <c r="A19" i="8"/>
  <c r="A17" i="8"/>
  <c r="A15" i="8"/>
  <c r="A11" i="8"/>
  <c r="A10" i="8"/>
  <c r="A9" i="8"/>
  <c r="A6" i="8"/>
  <c r="A16" i="8"/>
  <c r="A7" i="8"/>
  <c r="A8" i="8"/>
  <c r="A21" i="8"/>
  <c r="A23" i="8"/>
  <c r="A25" i="8"/>
  <c r="A1" i="8"/>
  <c r="H34" i="2"/>
  <c r="N34" i="2"/>
  <c r="G34" i="2"/>
  <c r="L34" i="2"/>
  <c r="B34" i="2"/>
  <c r="F34" i="2"/>
  <c r="I34" i="2"/>
  <c r="D34" i="2"/>
  <c r="O34" i="2"/>
  <c r="M34" i="2"/>
  <c r="K34" i="2"/>
  <c r="J34" i="2"/>
  <c r="P34" i="2"/>
  <c r="C34" i="2"/>
  <c r="N34" i="3"/>
  <c r="N35" i="3"/>
  <c r="N36" i="3"/>
  <c r="N37" i="3"/>
  <c r="N38" i="3"/>
  <c r="N39" i="3"/>
  <c r="N43" i="3"/>
  <c r="N47" i="3"/>
  <c r="N51" i="3"/>
  <c r="N11" i="3"/>
  <c r="N40" i="3"/>
  <c r="P19" i="2"/>
  <c r="P21" i="8"/>
  <c r="AI6" i="3"/>
  <c r="P42" i="2"/>
  <c r="P46" i="2"/>
  <c r="P50" i="2"/>
  <c r="P43" i="2"/>
  <c r="P47" i="2"/>
  <c r="P51" i="2"/>
  <c r="P44" i="2"/>
  <c r="P48" i="2"/>
  <c r="P52" i="2"/>
  <c r="P41" i="2"/>
  <c r="P45" i="2"/>
  <c r="P49" i="2"/>
  <c r="P40" i="2"/>
  <c r="M47" i="3"/>
  <c r="M51" i="3"/>
  <c r="M43" i="3"/>
  <c r="M34" i="3"/>
  <c r="M35" i="3"/>
  <c r="M36" i="3"/>
  <c r="M37" i="3"/>
  <c r="M38" i="3"/>
  <c r="M39" i="3"/>
  <c r="P53" i="2"/>
  <c r="M11" i="3"/>
  <c r="M40" i="3"/>
  <c r="O19" i="2"/>
  <c r="O21" i="8"/>
  <c r="AH6" i="3"/>
  <c r="O40" i="2"/>
  <c r="O51" i="2"/>
  <c r="O47" i="2"/>
  <c r="O43" i="2"/>
  <c r="O50" i="2"/>
  <c r="O46" i="2"/>
  <c r="O42" i="2"/>
  <c r="O49" i="2"/>
  <c r="O45" i="2"/>
  <c r="O41" i="2"/>
  <c r="O52" i="2"/>
  <c r="O48" i="2"/>
  <c r="O44" i="2"/>
  <c r="B51" i="3"/>
  <c r="B47" i="3"/>
  <c r="B43" i="3"/>
  <c r="B39" i="3"/>
  <c r="B38" i="3"/>
  <c r="B37" i="3"/>
  <c r="B36" i="3"/>
  <c r="B35" i="3"/>
  <c r="B34" i="3"/>
  <c r="B40" i="3"/>
  <c r="B11" i="3"/>
  <c r="O53" i="2"/>
  <c r="D11" i="3"/>
  <c r="C11" i="3"/>
  <c r="D51" i="3"/>
  <c r="D47" i="3"/>
  <c r="C51" i="3"/>
  <c r="C47" i="3"/>
  <c r="D43" i="3"/>
  <c r="C43" i="3"/>
  <c r="C35" i="3"/>
  <c r="D35" i="3"/>
  <c r="C36" i="3"/>
  <c r="D36" i="3"/>
  <c r="C37" i="3"/>
  <c r="D37" i="3"/>
  <c r="C38" i="3"/>
  <c r="D38" i="3"/>
  <c r="C39" i="3"/>
  <c r="D39" i="3"/>
  <c r="D34" i="3"/>
  <c r="D40" i="3"/>
  <c r="C34" i="3"/>
  <c r="C40" i="3"/>
  <c r="F51" i="3"/>
  <c r="G51" i="3"/>
  <c r="H51" i="3"/>
  <c r="I51" i="3"/>
  <c r="J51" i="3"/>
  <c r="K51" i="3"/>
  <c r="L51" i="3"/>
  <c r="E51" i="3"/>
  <c r="F47" i="3"/>
  <c r="G47" i="3"/>
  <c r="H47" i="3"/>
  <c r="I47" i="3"/>
  <c r="J47" i="3"/>
  <c r="K47" i="3"/>
  <c r="L47" i="3"/>
  <c r="E47" i="3"/>
  <c r="E43" i="3"/>
  <c r="F43" i="3"/>
  <c r="G43" i="3"/>
  <c r="H43" i="3"/>
  <c r="I43" i="3"/>
  <c r="J43" i="3"/>
  <c r="K43" i="3"/>
  <c r="L43" i="3"/>
  <c r="E35" i="3"/>
  <c r="F35" i="3"/>
  <c r="G35" i="3"/>
  <c r="H35" i="3"/>
  <c r="I35" i="3"/>
  <c r="J35" i="3"/>
  <c r="K35" i="3"/>
  <c r="L35" i="3"/>
  <c r="E36" i="3"/>
  <c r="F36" i="3"/>
  <c r="G36" i="3"/>
  <c r="H36" i="3"/>
  <c r="I36" i="3"/>
  <c r="J36" i="3"/>
  <c r="K36" i="3"/>
  <c r="L36" i="3"/>
  <c r="E37" i="3"/>
  <c r="F37" i="3"/>
  <c r="G37" i="3"/>
  <c r="H37" i="3"/>
  <c r="I37" i="3"/>
  <c r="J37" i="3"/>
  <c r="K37" i="3"/>
  <c r="L37" i="3"/>
  <c r="E38" i="3"/>
  <c r="F38" i="3"/>
  <c r="G38" i="3"/>
  <c r="H38" i="3"/>
  <c r="I38" i="3"/>
  <c r="J38" i="3"/>
  <c r="K38" i="3"/>
  <c r="L38" i="3"/>
  <c r="E39" i="3"/>
  <c r="F39" i="3"/>
  <c r="G39" i="3"/>
  <c r="H39" i="3"/>
  <c r="I39" i="3"/>
  <c r="J39" i="3"/>
  <c r="K39" i="3"/>
  <c r="L39" i="3"/>
  <c r="F34" i="3"/>
  <c r="G34" i="3"/>
  <c r="H34" i="3"/>
  <c r="I34" i="3"/>
  <c r="J34" i="3"/>
  <c r="K34" i="3"/>
  <c r="L34" i="3"/>
  <c r="E34" i="3"/>
  <c r="E40" i="3"/>
  <c r="L19" i="2"/>
  <c r="L21" i="8"/>
  <c r="AE6" i="3"/>
  <c r="L11" i="3"/>
  <c r="L40" i="3"/>
  <c r="N19" i="2"/>
  <c r="AG6" i="3"/>
  <c r="N40" i="2"/>
  <c r="N21" i="8"/>
  <c r="N47" i="2"/>
  <c r="N51" i="2"/>
  <c r="N43" i="2"/>
  <c r="N45" i="2"/>
  <c r="N49" i="2"/>
  <c r="N41" i="2"/>
  <c r="N52" i="2"/>
  <c r="N50" i="2"/>
  <c r="N48" i="2"/>
  <c r="N46" i="2"/>
  <c r="N44" i="2"/>
  <c r="N42" i="2"/>
  <c r="K11" i="3"/>
  <c r="K40" i="3"/>
  <c r="I11" i="3"/>
  <c r="I40" i="3"/>
  <c r="J11" i="3"/>
  <c r="J40" i="3"/>
  <c r="N53" i="2"/>
  <c r="H11" i="3"/>
  <c r="H40" i="3"/>
  <c r="G11" i="3"/>
  <c r="G40" i="3"/>
  <c r="F11" i="3"/>
  <c r="F40" i="3"/>
  <c r="E11" i="3"/>
  <c r="M19" i="2"/>
  <c r="J19" i="2"/>
  <c r="D19" i="2"/>
  <c r="E19" i="2"/>
  <c r="F19" i="2"/>
  <c r="G19" i="2"/>
  <c r="H19" i="2"/>
  <c r="AA6" i="3"/>
  <c r="I19" i="2"/>
  <c r="K19" i="2"/>
  <c r="C19" i="2"/>
  <c r="B19" i="2"/>
  <c r="B21" i="8"/>
  <c r="C21" i="8"/>
  <c r="D21" i="8"/>
  <c r="W6" i="3"/>
  <c r="G21" i="8"/>
  <c r="Z6" i="3"/>
  <c r="K21" i="8"/>
  <c r="AD6" i="3"/>
  <c r="F21" i="8"/>
  <c r="Y6" i="3"/>
  <c r="M21" i="8"/>
  <c r="AF6" i="3"/>
  <c r="J21" i="8"/>
  <c r="AC6" i="3"/>
  <c r="I21" i="8"/>
  <c r="AB6" i="3"/>
  <c r="E21" i="8"/>
  <c r="X6" i="3"/>
  <c r="H21" i="8"/>
  <c r="I40" i="2"/>
  <c r="I41" i="2"/>
  <c r="I42" i="2"/>
  <c r="I43" i="2"/>
  <c r="I44" i="2"/>
  <c r="I45" i="2"/>
  <c r="I46" i="2"/>
  <c r="I47" i="2"/>
  <c r="I48" i="2"/>
  <c r="I49" i="2"/>
  <c r="I50" i="2"/>
  <c r="I51" i="2"/>
  <c r="I52" i="2"/>
  <c r="E40" i="2"/>
  <c r="E41" i="2"/>
  <c r="E42" i="2"/>
  <c r="E43" i="2"/>
  <c r="E44" i="2"/>
  <c r="E45" i="2"/>
  <c r="E46" i="2"/>
  <c r="E47" i="2"/>
  <c r="E48" i="2"/>
  <c r="E49" i="2"/>
  <c r="E50" i="2"/>
  <c r="E51" i="2"/>
  <c r="E52" i="2"/>
  <c r="C40" i="2"/>
  <c r="C41" i="2"/>
  <c r="C42" i="2"/>
  <c r="C43" i="2"/>
  <c r="C44" i="2"/>
  <c r="C45" i="2"/>
  <c r="C46" i="2"/>
  <c r="C47" i="2"/>
  <c r="C48" i="2"/>
  <c r="C49" i="2"/>
  <c r="C50" i="2"/>
  <c r="C51" i="2"/>
  <c r="C52" i="2"/>
  <c r="G40" i="2"/>
  <c r="G41" i="2"/>
  <c r="G42" i="2"/>
  <c r="G43" i="2"/>
  <c r="G44" i="2"/>
  <c r="G45" i="2"/>
  <c r="G46" i="2"/>
  <c r="G47" i="2"/>
  <c r="G48" i="2"/>
  <c r="G49" i="2"/>
  <c r="G50" i="2"/>
  <c r="G51" i="2"/>
  <c r="G52" i="2"/>
  <c r="J41" i="2"/>
  <c r="J43" i="2"/>
  <c r="J45" i="2"/>
  <c r="J47" i="2"/>
  <c r="J49" i="2"/>
  <c r="J51" i="2"/>
  <c r="J40" i="2"/>
  <c r="J44" i="2"/>
  <c r="J48" i="2"/>
  <c r="J50" i="2"/>
  <c r="J52" i="2"/>
  <c r="J42" i="2"/>
  <c r="J46" i="2"/>
  <c r="L40" i="2"/>
  <c r="L42" i="2"/>
  <c r="L44" i="2"/>
  <c r="L46" i="2"/>
  <c r="L48" i="2"/>
  <c r="L50" i="2"/>
  <c r="L52" i="2"/>
  <c r="L41" i="2"/>
  <c r="L43" i="2"/>
  <c r="L45" i="2"/>
  <c r="L47" i="2"/>
  <c r="L49" i="2"/>
  <c r="L51" i="2"/>
  <c r="K40" i="2"/>
  <c r="K41" i="2"/>
  <c r="K42" i="2"/>
  <c r="K43" i="2"/>
  <c r="K44" i="2"/>
  <c r="K45" i="2"/>
  <c r="K46" i="2"/>
  <c r="K47" i="2"/>
  <c r="K48" i="2"/>
  <c r="K49" i="2"/>
  <c r="K50" i="2"/>
  <c r="K51" i="2"/>
  <c r="K52" i="2"/>
  <c r="F40" i="2"/>
  <c r="F42" i="2"/>
  <c r="F44" i="2"/>
  <c r="F46" i="2"/>
  <c r="F48" i="2"/>
  <c r="F50" i="2"/>
  <c r="F52" i="2"/>
  <c r="F45" i="2"/>
  <c r="F51" i="2"/>
  <c r="F41" i="2"/>
  <c r="F43" i="2"/>
  <c r="F47" i="2"/>
  <c r="F49" i="2"/>
  <c r="B42" i="2"/>
  <c r="B46" i="2"/>
  <c r="B50" i="2"/>
  <c r="B44" i="2"/>
  <c r="B48" i="2"/>
  <c r="B52" i="2"/>
  <c r="B45" i="2"/>
  <c r="B40" i="2"/>
  <c r="B47" i="2"/>
  <c r="B51" i="2"/>
  <c r="B41" i="2"/>
  <c r="B49" i="2"/>
  <c r="B43" i="2"/>
  <c r="H41" i="2"/>
  <c r="H43" i="2"/>
  <c r="H45" i="2"/>
  <c r="H47" i="2"/>
  <c r="H49" i="2"/>
  <c r="H51" i="2"/>
  <c r="H40" i="2"/>
  <c r="H42" i="2"/>
  <c r="H44" i="2"/>
  <c r="H46" i="2"/>
  <c r="H48" i="2"/>
  <c r="H50" i="2"/>
  <c r="H52" i="2"/>
  <c r="D40" i="2"/>
  <c r="D42" i="2"/>
  <c r="D44" i="2"/>
  <c r="D46" i="2"/>
  <c r="D48" i="2"/>
  <c r="D50" i="2"/>
  <c r="D52" i="2"/>
  <c r="D41" i="2"/>
  <c r="D43" i="2"/>
  <c r="D45" i="2"/>
  <c r="D47" i="2"/>
  <c r="D49" i="2"/>
  <c r="D51" i="2"/>
  <c r="M40" i="2"/>
  <c r="M41" i="2"/>
  <c r="M42" i="2"/>
  <c r="M43" i="2"/>
  <c r="M44" i="2"/>
  <c r="M45" i="2"/>
  <c r="M46" i="2"/>
  <c r="M47" i="2"/>
  <c r="M48" i="2"/>
  <c r="M49" i="2"/>
  <c r="M50" i="2"/>
  <c r="M51" i="2"/>
  <c r="M52" i="2"/>
  <c r="M53" i="2"/>
  <c r="H53" i="2"/>
  <c r="B53" i="2"/>
  <c r="F53" i="2"/>
  <c r="G53" i="2"/>
  <c r="D53" i="2"/>
  <c r="K53" i="2"/>
  <c r="J53" i="2"/>
  <c r="C53" i="2"/>
  <c r="L53" i="2"/>
  <c r="E53" i="2"/>
  <c r="I53" i="2"/>
  <c r="T21" i="2" l="1"/>
  <c r="T23" i="2"/>
  <c r="T24" i="2"/>
</calcChain>
</file>

<file path=xl/sharedStrings.xml><?xml version="1.0" encoding="utf-8"?>
<sst xmlns="http://schemas.openxmlformats.org/spreadsheetml/2006/main" count="321" uniqueCount="100">
  <si>
    <t>Fuel Source</t>
  </si>
  <si>
    <t>Total</t>
  </si>
  <si>
    <t>Other</t>
  </si>
  <si>
    <t xml:space="preserve">Coal </t>
  </si>
  <si>
    <t xml:space="preserve">Cogeneration </t>
  </si>
  <si>
    <t xml:space="preserve">Natural Gas </t>
  </si>
  <si>
    <t xml:space="preserve">Nuclear </t>
  </si>
  <si>
    <t xml:space="preserve">Biomass </t>
  </si>
  <si>
    <t xml:space="preserve">Petroleum </t>
  </si>
  <si>
    <t xml:space="preserve">Waste </t>
  </si>
  <si>
    <t xml:space="preserve">Geothermal </t>
  </si>
  <si>
    <t xml:space="preserve">Landfill Gases </t>
  </si>
  <si>
    <t xml:space="preserve">Wind </t>
  </si>
  <si>
    <t>2000</t>
  </si>
  <si>
    <t>2001</t>
  </si>
  <si>
    <t>2002</t>
  </si>
  <si>
    <t>2003</t>
  </si>
  <si>
    <t>2004</t>
  </si>
  <si>
    <t>2005</t>
  </si>
  <si>
    <t>2006</t>
  </si>
  <si>
    <t>2007</t>
  </si>
  <si>
    <t>2008</t>
  </si>
  <si>
    <t>2009</t>
  </si>
  <si>
    <t>Natural Gas includes Cogeneration</t>
  </si>
  <si>
    <t>Megawatt Hours</t>
  </si>
  <si>
    <t>Notes:</t>
  </si>
  <si>
    <t>Electricity Consumption by Fuel Source</t>
  </si>
  <si>
    <t>2010</t>
  </si>
  <si>
    <t>2011</t>
  </si>
  <si>
    <t>The “Other” fuel category consists of fuel remaining after categories listed in fuel mix disclosure legislation have been matched with reported categories. It contains: blast furnace gas, other biomass gas such as digester gas and methane, and purchased steam.</t>
  </si>
  <si>
    <t>CO2</t>
  </si>
  <si>
    <t>SO2</t>
  </si>
  <si>
    <t>Hg (lbs)</t>
  </si>
  <si>
    <t>NOx</t>
  </si>
  <si>
    <t>Natural Gas</t>
  </si>
  <si>
    <t>Petroleum</t>
  </si>
  <si>
    <t>2012</t>
  </si>
  <si>
    <t>Solar</t>
  </si>
  <si>
    <t>As a Percent of Total Electricity</t>
  </si>
  <si>
    <t>Fossil Fuel Emissions from Electricity Production</t>
  </si>
  <si>
    <t>Hydropower</t>
  </si>
  <si>
    <t>Hydropwer</t>
  </si>
  <si>
    <t>Short Tons</t>
  </si>
  <si>
    <t>Metric Tons</t>
  </si>
  <si>
    <t>Updates</t>
  </si>
  <si>
    <t>Date</t>
  </si>
  <si>
    <t>Notes</t>
  </si>
  <si>
    <t>Contributor</t>
  </si>
  <si>
    <t>Angela Burrell</t>
  </si>
  <si>
    <t>Added emissions for2002, 2003, 2004.</t>
  </si>
  <si>
    <t>Added table expressing emissions in metric tons (originally available in short tons only).</t>
  </si>
  <si>
    <t>Added emissions for NOx, SO2, Hg for 2008.</t>
  </si>
  <si>
    <t>Reformatted all cells to improve copy/paste ability.)</t>
  </si>
  <si>
    <t>2013</t>
  </si>
  <si>
    <t>Revised all data for 2013</t>
  </si>
  <si>
    <t>2014</t>
  </si>
  <si>
    <t>Updated  with 2014 mix and emissions</t>
  </si>
  <si>
    <t>Data for Chart (Some categories are combined.)</t>
  </si>
  <si>
    <t>Landfill Gas</t>
  </si>
  <si>
    <t>Natural Gas includes Cogeneration.</t>
  </si>
  <si>
    <t>Data Source: Washington State Fuel Mix Disclosure program as reported by utilities in the state of Washington. Per RCW 19.28A.</t>
  </si>
  <si>
    <t>Biomass, Petroleum, Waste, Landfill Gas, Geothermal, Solar, Other</t>
  </si>
  <si>
    <t>CO2 Emissions for the Aggregate Electricity Consumption</t>
  </si>
  <si>
    <t xml:space="preserve">Natural Gas &amp; CoGen </t>
  </si>
  <si>
    <t>Blend</t>
  </si>
  <si>
    <t>Natural Gas and Cogeneration</t>
  </si>
  <si>
    <t>*Revision 2014   (Cogen, Natural Gas Years 2002, 2004)</t>
  </si>
  <si>
    <t>2015</t>
  </si>
  <si>
    <r>
      <t>·</t>
    </r>
    <r>
      <rPr>
        <sz val="7"/>
        <color theme="1"/>
        <rFont val="Times New Roman"/>
        <family val="1"/>
      </rPr>
      <t xml:space="preserve">         </t>
    </r>
    <r>
      <rPr>
        <sz val="12"/>
        <color theme="1"/>
        <rFont val="Calibri"/>
        <family val="2"/>
        <scheme val="minor"/>
      </rPr>
      <t>For the 2015 calendar year, several changes were made to the fuel categories. Under the Fuel Mix Disclosure Law, cogeneration is a voluntary subcategory for natural gas. Therefore, “Cogeneration” is now incorporated into “Natural Gas” for aggregate reporting.</t>
    </r>
  </si>
  <si>
    <r>
      <t>·</t>
    </r>
    <r>
      <rPr>
        <sz val="7"/>
        <color theme="1"/>
        <rFont val="Times New Roman"/>
        <family val="1"/>
      </rPr>
      <t xml:space="preserve">         </t>
    </r>
    <r>
      <rPr>
        <sz val="12"/>
        <color theme="1"/>
        <rFont val="Calibri"/>
        <family val="2"/>
        <scheme val="minor"/>
      </rPr>
      <t xml:space="preserve">The category of “Biogas” is new for 2015 and consists of landfill gas, on-farm anaerobic digesters, and wastewater treatment facilities. </t>
    </r>
  </si>
  <si>
    <r>
      <t>·</t>
    </r>
    <r>
      <rPr>
        <sz val="7"/>
        <color theme="1"/>
        <rFont val="Times New Roman"/>
        <family val="1"/>
      </rPr>
      <t xml:space="preserve">         </t>
    </r>
    <r>
      <rPr>
        <sz val="12"/>
        <color theme="1"/>
        <rFont val="Calibri"/>
        <family val="2"/>
        <scheme val="minor"/>
      </rPr>
      <t>The “Other Biogenic” category consists of biogenic municipal solid waste, other biomass solids and sludge waste.</t>
    </r>
  </si>
  <si>
    <r>
      <t>·</t>
    </r>
    <r>
      <rPr>
        <sz val="7"/>
        <color theme="1"/>
        <rFont val="Times New Roman"/>
        <family val="1"/>
      </rPr>
      <t xml:space="preserve">         </t>
    </r>
    <r>
      <rPr>
        <sz val="12"/>
        <color theme="1"/>
        <rFont val="Calibri"/>
        <family val="2"/>
        <scheme val="minor"/>
      </rPr>
      <t>The “Other Non-biogenic” category consists of purchased steam, waste heat, other fuel and other gas.</t>
    </r>
  </si>
  <si>
    <r>
      <t>·</t>
    </r>
    <r>
      <rPr>
        <sz val="7"/>
        <color theme="1"/>
        <rFont val="Times New Roman"/>
        <family val="1"/>
      </rPr>
      <t xml:space="preserve">         </t>
    </r>
    <r>
      <rPr>
        <sz val="12"/>
        <color theme="1"/>
        <rFont val="Calibri"/>
        <family val="2"/>
        <scheme val="minor"/>
      </rPr>
      <t>The “Waste” category applies primarily to incineration of municipal solid waste. Historically, it also applied to combustion of pulping liquids in pulp and paper mills, which have now been moved into the “Biomass” category.  The “Biomass” category also includes the combustion of waste wood solids.</t>
    </r>
  </si>
  <si>
    <t>Biogass</t>
  </si>
  <si>
    <t>Other Biogenic</t>
  </si>
  <si>
    <t>Other Non-Biogenic</t>
  </si>
  <si>
    <t>Year</t>
  </si>
  <si>
    <t>Emission rate</t>
  </si>
  <si>
    <t>Emission rate (short tons/MWh)</t>
  </si>
  <si>
    <t>updated with 2015 fuel mix and emissions</t>
  </si>
  <si>
    <t>Greg Nothstein</t>
  </si>
  <si>
    <r>
      <t xml:space="preserve">😊 </t>
    </r>
    <r>
      <rPr>
        <sz val="9"/>
        <color theme="1"/>
        <rFont val="Calibri"/>
        <family val="2"/>
        <scheme val="minor"/>
      </rPr>
      <t>Thanks Angela</t>
    </r>
  </si>
  <si>
    <t>2016</t>
  </si>
  <si>
    <t>Other/biogenic/nonbiogenic</t>
  </si>
  <si>
    <t>Fuel</t>
  </si>
  <si>
    <t>Average</t>
  </si>
  <si>
    <t>Std dev</t>
  </si>
  <si>
    <t>Hydropower genr</t>
  </si>
  <si>
    <t>Low (2001)</t>
  </si>
  <si>
    <t>High (2011)</t>
  </si>
  <si>
    <t>EIA WA hydro generation</t>
  </si>
  <si>
    <t>95% CI</t>
  </si>
  <si>
    <t>2017</t>
  </si>
  <si>
    <t>should remove landfill gas</t>
  </si>
  <si>
    <t>Total (short tons)</t>
  </si>
  <si>
    <t>Total (metric tons)</t>
  </si>
  <si>
    <t>Updated Dec 2018</t>
  </si>
  <si>
    <t>Washington State Aggregate Fuel Mix 2000-2017</t>
  </si>
  <si>
    <t xml:space="preserve">Updated with 2016 CY fuel mix </t>
  </si>
  <si>
    <t xml:space="preserve">Updated with 2017 CY fuel mix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</si>
</sst>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_(* #,##0_);_(* \(#,##0\);_(* &quot;-&quot;??_);_(@_)"/>
    <numFmt numFmtId="165" formatCode="_(* #,##0.0000_);_(* \(#,##0.0000\);_(* &quot;-&quot;??_);_(@_)"/>
    <numFmt numFmtId="166" formatCode="0.000"/>
    <numFmt numFmtId="167" formatCode="0.0%"/>
    <numFmt numFmtId="168" formatCode="0.000%"/>
  </numFmts>
  <fonts count="34" x14ac:knownFonts="1">
    <font>
      <sz val="11"/>
      <color theme="1"/>
      <name val="Calibri"/>
      <family val="2"/>
      <scheme val="minor"/>
    </font>
    <font>
      <sz val="10"/>
      <name val="Arial"/>
      <family val="2"/>
    </font>
    <font>
      <sz val="11"/>
      <color theme="1"/>
      <name val="Calibri"/>
      <family val="2"/>
      <scheme val="minor"/>
    </font>
    <font>
      <sz val="10"/>
      <color theme="1"/>
      <name val="Calibri"/>
      <family val="2"/>
      <scheme val="minor"/>
    </font>
    <font>
      <sz val="10"/>
      <color rgb="FF000000"/>
      <name val="Calibri"/>
      <family val="2"/>
      <scheme val="minor"/>
    </font>
    <font>
      <sz val="8"/>
      <color theme="1"/>
      <name val="Calibri"/>
      <family val="2"/>
      <scheme val="minor"/>
    </font>
    <font>
      <b/>
      <sz val="10"/>
      <color theme="1"/>
      <name val="Calibri"/>
      <family val="2"/>
      <scheme val="minor"/>
    </font>
    <font>
      <b/>
      <sz val="10"/>
      <color rgb="FFFF0000"/>
      <name val="Calibri"/>
      <family val="2"/>
      <scheme val="minor"/>
    </font>
    <font>
      <sz val="10"/>
      <color rgb="FFFF0000"/>
      <name val="Calibri"/>
      <family val="2"/>
      <scheme val="minor"/>
    </font>
    <font>
      <sz val="10"/>
      <color indexed="8"/>
      <name val="Calibri"/>
      <family val="2"/>
      <scheme val="minor"/>
    </font>
    <font>
      <b/>
      <sz val="8"/>
      <color theme="1"/>
      <name val="Calibri"/>
      <family val="2"/>
      <scheme val="minor"/>
    </font>
    <font>
      <sz val="10"/>
      <name val="Calibri"/>
      <family val="2"/>
      <scheme val="minor"/>
    </font>
    <font>
      <b/>
      <sz val="10"/>
      <name val="Calibri"/>
      <family val="2"/>
      <scheme val="minor"/>
    </font>
    <font>
      <sz val="10"/>
      <color theme="1"/>
      <name val="Calibri"/>
      <family val="2"/>
      <scheme val="minor"/>
    </font>
    <font>
      <b/>
      <sz val="10"/>
      <color theme="1"/>
      <name val="Calibri"/>
      <family val="2"/>
      <scheme val="minor"/>
    </font>
    <font>
      <b/>
      <sz val="11"/>
      <color rgb="FF000000"/>
      <name val="Arial Narrow"/>
      <family val="2"/>
    </font>
    <font>
      <sz val="11"/>
      <color rgb="FF000000"/>
      <name val="Arial Narrow"/>
      <family val="2"/>
    </font>
    <font>
      <sz val="11"/>
      <name val="Arial Narrow"/>
      <family val="2"/>
    </font>
    <font>
      <sz val="11"/>
      <color theme="1"/>
      <name val="Arial Narrow"/>
      <family val="2"/>
    </font>
    <font>
      <sz val="10"/>
      <color theme="1"/>
      <name val="Calibri"/>
      <family val="2"/>
    </font>
    <font>
      <sz val="10"/>
      <color rgb="FF000000"/>
      <name val="Calibri"/>
      <family val="2"/>
    </font>
    <font>
      <b/>
      <sz val="10"/>
      <color theme="1"/>
      <name val="Calibri"/>
      <family val="2"/>
      <scheme val="minor"/>
    </font>
    <font>
      <sz val="12"/>
      <color theme="1"/>
      <name val="Calibri"/>
      <family val="2"/>
      <scheme val="minor"/>
    </font>
    <font>
      <sz val="12"/>
      <color theme="1"/>
      <name val="Symbol"/>
      <family val="1"/>
      <charset val="2"/>
    </font>
    <font>
      <sz val="7"/>
      <color theme="1"/>
      <name val="Times New Roman"/>
      <family val="1"/>
    </font>
    <font>
      <sz val="11"/>
      <color theme="1"/>
      <name val="Segoe UI Emoji"/>
      <family val="2"/>
    </font>
    <font>
      <sz val="9"/>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sz val="10"/>
      <name val="Calibri"/>
      <family val="2"/>
    </font>
    <font>
      <sz val="11"/>
      <name val="Calibri"/>
      <family val="2"/>
      <scheme val="minor"/>
    </font>
    <font>
      <sz val="10"/>
      <color theme="1"/>
      <name val="Calibri"/>
      <family val="2"/>
      <scheme val="minor"/>
    </font>
    <font>
      <b/>
      <sz val="10"/>
      <color theme="1"/>
      <name val="Calibri"/>
      <family val="2"/>
      <scheme val="minor"/>
    </font>
  </fonts>
  <fills count="6">
    <fill>
      <patternFill patternType="none"/>
    </fill>
    <fill>
      <patternFill patternType="gray125"/>
    </fill>
    <fill>
      <patternFill patternType="solid">
        <fgColor theme="0" tint="-0.14999847407452621"/>
        <bgColor theme="0" tint="-0.14999847407452621"/>
      </patternFill>
    </fill>
    <fill>
      <patternFill patternType="solid">
        <fgColor rgb="FFFFFF00"/>
        <bgColor indexed="64"/>
      </patternFill>
    </fill>
    <fill>
      <patternFill patternType="solid">
        <fgColor theme="4" tint="0.59999389629810485"/>
        <bgColor indexed="64"/>
      </patternFill>
    </fill>
    <fill>
      <patternFill patternType="solid">
        <fgColor rgb="FFB8D6E8"/>
        <bgColor indexed="64"/>
      </patternFill>
    </fill>
  </fills>
  <borders count="5">
    <border>
      <left/>
      <right/>
      <top/>
      <bottom/>
      <diagonal/>
    </border>
    <border>
      <left/>
      <right/>
      <top/>
      <bottom style="thin">
        <color theme="1"/>
      </bottom>
      <diagonal/>
    </border>
    <border>
      <left/>
      <right style="thin">
        <color indexed="64"/>
      </right>
      <top/>
      <bottom/>
      <diagonal/>
    </border>
    <border>
      <left/>
      <right/>
      <top style="thin">
        <color theme="1"/>
      </top>
      <bottom style="thin">
        <color theme="1"/>
      </bottom>
      <diagonal/>
    </border>
    <border>
      <left style="thin">
        <color indexed="64"/>
      </left>
      <right style="thin">
        <color indexed="64"/>
      </right>
      <top style="thin">
        <color indexed="64"/>
      </top>
      <bottom style="thin">
        <color indexed="64"/>
      </bottom>
      <diagonal/>
    </border>
  </borders>
  <cellStyleXfs count="11">
    <xf numFmtId="0" fontId="0" fillId="0" borderId="0"/>
    <xf numFmtId="43" fontId="2" fillId="0" borderId="0" applyFont="0" applyFill="0" applyBorder="0" applyAlignment="0" applyProtection="0"/>
    <xf numFmtId="9" fontId="2"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180">
    <xf numFmtId="0" fontId="0" fillId="0" borderId="0" xfId="0"/>
    <xf numFmtId="0" fontId="6" fillId="0" borderId="0" xfId="0" applyFont="1" applyAlignment="1"/>
    <xf numFmtId="4" fontId="3" fillId="0" borderId="0" xfId="0" applyNumberFormat="1" applyFont="1" applyAlignment="1"/>
    <xf numFmtId="0" fontId="7" fillId="0" borderId="0" xfId="0" applyFont="1" applyAlignment="1"/>
    <xf numFmtId="0" fontId="8" fillId="0" borderId="0" xfId="0" applyFont="1" applyAlignment="1"/>
    <xf numFmtId="0" fontId="3" fillId="0" borderId="0" xfId="0" applyFont="1" applyFill="1" applyAlignment="1"/>
    <xf numFmtId="0" fontId="6" fillId="3" borderId="0" xfId="0" applyFont="1" applyFill="1" applyAlignment="1"/>
    <xf numFmtId="0" fontId="6" fillId="0" borderId="0" xfId="0" applyFont="1" applyAlignment="1">
      <alignment horizontal="center" vertical="center"/>
    </xf>
    <xf numFmtId="0" fontId="6" fillId="0" borderId="0" xfId="0" applyNumberFormat="1" applyFont="1" applyAlignment="1">
      <alignment horizontal="center" vertical="center"/>
    </xf>
    <xf numFmtId="0" fontId="6" fillId="0" borderId="0" xfId="0" applyNumberFormat="1" applyFont="1" applyFill="1" applyAlignment="1">
      <alignment horizontal="center" vertical="center"/>
    </xf>
    <xf numFmtId="164" fontId="3" fillId="0" borderId="0" xfId="1" applyNumberFormat="1" applyFont="1" applyBorder="1" applyAlignment="1"/>
    <xf numFmtId="164" fontId="3" fillId="0" borderId="0" xfId="1" applyNumberFormat="1" applyFont="1" applyAlignment="1">
      <alignment horizontal="right"/>
    </xf>
    <xf numFmtId="164" fontId="4" fillId="0" borderId="0" xfId="1" applyNumberFormat="1" applyFont="1" applyAlignment="1">
      <alignment horizontal="right"/>
    </xf>
    <xf numFmtId="164" fontId="3" fillId="0" borderId="0" xfId="1" applyNumberFormat="1" applyFont="1" applyAlignment="1"/>
    <xf numFmtId="164" fontId="6" fillId="0" borderId="0" xfId="1" applyNumberFormat="1" applyFont="1" applyAlignment="1">
      <alignment horizontal="right"/>
    </xf>
    <xf numFmtId="164" fontId="6" fillId="0" borderId="0" xfId="1" applyNumberFormat="1" applyFont="1" applyFill="1" applyAlignment="1"/>
    <xf numFmtId="164" fontId="6" fillId="0" borderId="0" xfId="1" applyNumberFormat="1" applyFont="1" applyAlignment="1"/>
    <xf numFmtId="164" fontId="3" fillId="0" borderId="0" xfId="1" applyNumberFormat="1" applyFont="1" applyFill="1" applyAlignment="1"/>
    <xf numFmtId="0" fontId="6" fillId="0" borderId="0" xfId="0" applyFont="1" applyFill="1" applyAlignment="1">
      <alignment horizontal="center" vertical="center"/>
    </xf>
    <xf numFmtId="164" fontId="3" fillId="0" borderId="0" xfId="0" applyNumberFormat="1" applyFont="1" applyBorder="1" applyAlignment="1"/>
    <xf numFmtId="0" fontId="4" fillId="0" borderId="0" xfId="0" applyFont="1" applyAlignment="1">
      <alignment horizontal="left" vertical="top"/>
    </xf>
    <xf numFmtId="0" fontId="10" fillId="0" borderId="0" xfId="0" applyFont="1" applyAlignment="1">
      <alignment horizontal="left"/>
    </xf>
    <xf numFmtId="0" fontId="10" fillId="0" borderId="0" xfId="0" applyFont="1"/>
    <xf numFmtId="0" fontId="5" fillId="0" borderId="0" xfId="0" applyFont="1"/>
    <xf numFmtId="15" fontId="5" fillId="0" borderId="0" xfId="0" applyNumberFormat="1" applyFont="1" applyAlignment="1">
      <alignment horizontal="left"/>
    </xf>
    <xf numFmtId="0" fontId="5" fillId="0" borderId="0" xfId="0" applyFont="1" applyAlignment="1">
      <alignment horizontal="left"/>
    </xf>
    <xf numFmtId="164" fontId="9" fillId="0" borderId="0" xfId="1" applyNumberFormat="1" applyFont="1" applyAlignment="1"/>
    <xf numFmtId="4" fontId="9" fillId="0" borderId="0" xfId="0" applyNumberFormat="1" applyFont="1" applyAlignment="1"/>
    <xf numFmtId="164" fontId="11" fillId="0" borderId="0" xfId="1" applyNumberFormat="1" applyFont="1" applyAlignment="1"/>
    <xf numFmtId="164" fontId="9" fillId="0" borderId="0" xfId="1" applyNumberFormat="1" applyFont="1" applyFill="1" applyAlignment="1"/>
    <xf numFmtId="164" fontId="3" fillId="0" borderId="0" xfId="1" applyNumberFormat="1" applyFont="1" applyFill="1" applyAlignment="1">
      <alignment horizontal="right"/>
    </xf>
    <xf numFmtId="164" fontId="6" fillId="0" borderId="0" xfId="1" applyNumberFormat="1" applyFont="1" applyFill="1" applyAlignment="1">
      <alignment horizontal="right"/>
    </xf>
    <xf numFmtId="164" fontId="9" fillId="0" borderId="0" xfId="1" applyNumberFormat="1" applyFont="1" applyAlignment="1">
      <alignment horizontal="right"/>
    </xf>
    <xf numFmtId="164" fontId="4" fillId="0" borderId="0" xfId="1" applyNumberFormat="1" applyFont="1" applyAlignment="1"/>
    <xf numFmtId="0" fontId="4" fillId="0" borderId="0" xfId="0" applyFont="1" applyAlignment="1"/>
    <xf numFmtId="0" fontId="6" fillId="0" borderId="0" xfId="0" applyFont="1" applyFill="1" applyAlignment="1"/>
    <xf numFmtId="4" fontId="3" fillId="0" borderId="0" xfId="0" applyNumberFormat="1" applyFont="1" applyFill="1" applyAlignment="1"/>
    <xf numFmtId="0" fontId="6" fillId="3" borderId="0" xfId="0" applyFont="1" applyFill="1" applyAlignment="1">
      <alignment horizontal="center" vertical="center"/>
    </xf>
    <xf numFmtId="0" fontId="6" fillId="3" borderId="0" xfId="0" applyNumberFormat="1" applyFont="1" applyFill="1" applyAlignment="1">
      <alignment horizontal="center" vertical="center"/>
    </xf>
    <xf numFmtId="0" fontId="12" fillId="0" borderId="0" xfId="0" applyFont="1" applyFill="1" applyAlignment="1"/>
    <xf numFmtId="0" fontId="11" fillId="0" borderId="0" xfId="0" applyFont="1" applyFill="1" applyAlignment="1"/>
    <xf numFmtId="4" fontId="11" fillId="0" borderId="0" xfId="0" applyNumberFormat="1" applyFont="1" applyFill="1" applyAlignment="1">
      <alignment vertical="center"/>
    </xf>
    <xf numFmtId="0" fontId="3" fillId="0" borderId="0" xfId="0" applyFont="1" applyFill="1" applyBorder="1" applyAlignment="1"/>
    <xf numFmtId="164" fontId="9" fillId="0" borderId="0" xfId="1" applyNumberFormat="1" applyFont="1" applyBorder="1" applyAlignment="1"/>
    <xf numFmtId="164" fontId="4" fillId="0" borderId="0" xfId="1" applyNumberFormat="1" applyFont="1" applyFill="1" applyBorder="1" applyAlignment="1">
      <alignment horizontal="right"/>
    </xf>
    <xf numFmtId="164" fontId="3" fillId="0" borderId="0" xfId="1" applyNumberFormat="1" applyFont="1" applyFill="1" applyBorder="1" applyAlignment="1">
      <alignment horizontal="right"/>
    </xf>
    <xf numFmtId="164" fontId="4" fillId="0" borderId="0" xfId="1" applyNumberFormat="1" applyFont="1" applyBorder="1" applyAlignment="1"/>
    <xf numFmtId="164" fontId="9" fillId="0" borderId="0" xfId="1" applyNumberFormat="1" applyFont="1" applyFill="1" applyBorder="1" applyAlignment="1"/>
    <xf numFmtId="3" fontId="3" fillId="0" borderId="0" xfId="0" applyNumberFormat="1" applyFont="1" applyFill="1" applyAlignment="1">
      <alignment horizontal="right"/>
    </xf>
    <xf numFmtId="164" fontId="3" fillId="0" borderId="0" xfId="1" applyNumberFormat="1" applyFont="1" applyFill="1" applyBorder="1" applyAlignment="1"/>
    <xf numFmtId="164" fontId="3" fillId="0" borderId="0" xfId="0" applyNumberFormat="1" applyFont="1" applyFill="1" applyBorder="1" applyAlignment="1"/>
    <xf numFmtId="0" fontId="11" fillId="0" borderId="0" xfId="0" applyFont="1" applyFill="1" applyBorder="1" applyAlignment="1"/>
    <xf numFmtId="0" fontId="6" fillId="0" borderId="0" xfId="0" applyFont="1" applyFill="1" applyBorder="1" applyAlignment="1"/>
    <xf numFmtId="0" fontId="4" fillId="0" borderId="0" xfId="0" applyFont="1" applyFill="1" applyBorder="1" applyAlignment="1">
      <alignment vertical="top"/>
    </xf>
    <xf numFmtId="164" fontId="4" fillId="0" borderId="0" xfId="1" applyNumberFormat="1" applyFont="1" applyFill="1" applyBorder="1" applyAlignment="1">
      <alignment horizontal="right" vertical="top"/>
    </xf>
    <xf numFmtId="0" fontId="6" fillId="0" borderId="1" xfId="0" applyFont="1" applyBorder="1" applyAlignment="1"/>
    <xf numFmtId="0" fontId="4" fillId="2" borderId="0" xfId="0" applyFont="1" applyFill="1" applyBorder="1" applyAlignment="1">
      <alignment vertical="top"/>
    </xf>
    <xf numFmtId="10" fontId="3" fillId="0" borderId="0" xfId="2" applyNumberFormat="1" applyFont="1" applyFill="1" applyBorder="1" applyAlignment="1"/>
    <xf numFmtId="0" fontId="4" fillId="0" borderId="0" xfId="0" applyFont="1" applyBorder="1" applyAlignment="1">
      <alignment vertical="top"/>
    </xf>
    <xf numFmtId="0" fontId="3" fillId="0" borderId="0" xfId="0" applyFont="1" applyFill="1" applyBorder="1" applyAlignment="1">
      <alignment horizontal="center"/>
    </xf>
    <xf numFmtId="164" fontId="11" fillId="0" borderId="0" xfId="1" applyNumberFormat="1" applyFont="1" applyBorder="1" applyAlignment="1"/>
    <xf numFmtId="0" fontId="4" fillId="0" borderId="0" xfId="0" applyFont="1" applyFill="1" applyBorder="1" applyAlignment="1"/>
    <xf numFmtId="0" fontId="14" fillId="0" borderId="1" xfId="0" applyFont="1" applyFill="1" applyBorder="1" applyAlignment="1"/>
    <xf numFmtId="0" fontId="13" fillId="0" borderId="2" xfId="0" applyFont="1" applyFill="1" applyBorder="1" applyAlignment="1">
      <alignment horizontal="center"/>
    </xf>
    <xf numFmtId="0" fontId="6" fillId="0" borderId="0" xfId="0" applyFont="1" applyAlignment="1">
      <alignment horizontal="center"/>
    </xf>
    <xf numFmtId="0" fontId="3" fillId="0" borderId="2" xfId="0" applyFont="1" applyFill="1" applyBorder="1" applyAlignment="1">
      <alignment horizontal="center"/>
    </xf>
    <xf numFmtId="164" fontId="11" fillId="0" borderId="0" xfId="1" applyNumberFormat="1" applyFont="1" applyFill="1" applyAlignment="1"/>
    <xf numFmtId="164" fontId="11" fillId="0" borderId="0" xfId="1" applyNumberFormat="1" applyFont="1" applyFill="1" applyAlignment="1">
      <alignment vertical="center"/>
    </xf>
    <xf numFmtId="164" fontId="11" fillId="0" borderId="0" xfId="1" applyNumberFormat="1" applyFont="1" applyFill="1"/>
    <xf numFmtId="14" fontId="5" fillId="0" borderId="0" xfId="0" applyNumberFormat="1" applyFont="1" applyAlignment="1">
      <alignment horizontal="left"/>
    </xf>
    <xf numFmtId="0" fontId="3" fillId="0" borderId="0" xfId="0" applyFont="1" applyBorder="1" applyAlignment="1"/>
    <xf numFmtId="164" fontId="13" fillId="0" borderId="0" xfId="1" applyNumberFormat="1" applyFont="1" applyFill="1" applyBorder="1" applyAlignment="1"/>
    <xf numFmtId="0" fontId="6" fillId="0" borderId="1" xfId="0" applyFont="1" applyFill="1" applyBorder="1" applyAlignment="1"/>
    <xf numFmtId="164" fontId="6" fillId="0" borderId="0" xfId="1" applyNumberFormat="1" applyFont="1" applyBorder="1" applyAlignment="1"/>
    <xf numFmtId="0" fontId="6" fillId="0" borderId="0" xfId="0" applyNumberFormat="1" applyFont="1" applyBorder="1" applyAlignment="1">
      <alignment horizontal="center" vertical="center"/>
    </xf>
    <xf numFmtId="1" fontId="4" fillId="0" borderId="0" xfId="0" applyNumberFormat="1" applyFont="1" applyAlignment="1">
      <alignment vertical="center"/>
    </xf>
    <xf numFmtId="3" fontId="4" fillId="0" borderId="0" xfId="0" applyNumberFormat="1" applyFont="1" applyAlignment="1">
      <alignment vertical="center"/>
    </xf>
    <xf numFmtId="164" fontId="4" fillId="0" borderId="0" xfId="1" applyNumberFormat="1" applyFont="1" applyBorder="1" applyAlignment="1">
      <alignment vertical="center"/>
    </xf>
    <xf numFmtId="0" fontId="3" fillId="0" borderId="0" xfId="0" applyFont="1"/>
    <xf numFmtId="0" fontId="3" fillId="0" borderId="0" xfId="0" applyFont="1" applyAlignment="1"/>
    <xf numFmtId="4" fontId="4" fillId="0" borderId="0" xfId="0" applyNumberFormat="1" applyFont="1" applyAlignment="1">
      <alignment vertical="center"/>
    </xf>
    <xf numFmtId="0" fontId="4" fillId="0" borderId="0" xfId="0" applyFont="1" applyAlignment="1">
      <alignment vertical="center"/>
    </xf>
    <xf numFmtId="0" fontId="3" fillId="0" borderId="0" xfId="0" applyFont="1" applyFill="1"/>
    <xf numFmtId="164" fontId="4" fillId="0" borderId="0" xfId="1" applyNumberFormat="1" applyFont="1" applyAlignment="1">
      <alignment vertical="center"/>
    </xf>
    <xf numFmtId="0" fontId="6" fillId="0" borderId="0" xfId="0" applyFont="1"/>
    <xf numFmtId="0" fontId="6" fillId="0" borderId="0" xfId="0" applyFont="1" applyFill="1"/>
    <xf numFmtId="0" fontId="6" fillId="0" borderId="0" xfId="0" applyFont="1" applyFill="1" applyAlignment="1">
      <alignment horizontal="center"/>
    </xf>
    <xf numFmtId="164" fontId="3" fillId="0" borderId="0" xfId="1" applyNumberFormat="1" applyFont="1" applyFill="1"/>
    <xf numFmtId="0" fontId="7" fillId="0" borderId="0" xfId="0" applyFont="1" applyFill="1" applyBorder="1" applyAlignment="1"/>
    <xf numFmtId="164" fontId="11" fillId="0" borderId="0" xfId="1" applyNumberFormat="1" applyFont="1" applyBorder="1" applyAlignment="1">
      <alignment vertical="center"/>
    </xf>
    <xf numFmtId="164" fontId="3" fillId="0" borderId="0" xfId="1" applyNumberFormat="1" applyFont="1"/>
    <xf numFmtId="0" fontId="6" fillId="0" borderId="3" xfId="0" applyFont="1" applyBorder="1" applyAlignment="1"/>
    <xf numFmtId="0" fontId="6" fillId="0" borderId="3" xfId="0" applyFont="1" applyBorder="1" applyAlignment="1">
      <alignment horizontal="center"/>
    </xf>
    <xf numFmtId="0" fontId="4" fillId="2" borderId="0" xfId="0" applyFont="1" applyFill="1" applyBorder="1" applyAlignment="1"/>
    <xf numFmtId="164" fontId="4" fillId="2" borderId="0" xfId="1" applyNumberFormat="1" applyFont="1" applyFill="1" applyBorder="1" applyAlignment="1">
      <alignment horizontal="right"/>
    </xf>
    <xf numFmtId="0" fontId="4" fillId="0" borderId="0" xfId="0" applyFont="1" applyBorder="1" applyAlignment="1"/>
    <xf numFmtId="164" fontId="4" fillId="0" borderId="0" xfId="1" applyNumberFormat="1" applyFont="1" applyBorder="1" applyAlignment="1">
      <alignment horizontal="right"/>
    </xf>
    <xf numFmtId="164" fontId="3" fillId="0" borderId="1" xfId="1" applyNumberFormat="1" applyFont="1" applyBorder="1" applyAlignment="1"/>
    <xf numFmtId="164" fontId="3" fillId="2" borderId="0" xfId="1" applyNumberFormat="1" applyFont="1" applyFill="1" applyBorder="1" applyAlignment="1">
      <alignment horizontal="right"/>
    </xf>
    <xf numFmtId="164" fontId="9" fillId="2" borderId="0" xfId="1" applyNumberFormat="1" applyFont="1" applyFill="1" applyBorder="1" applyAlignment="1"/>
    <xf numFmtId="164" fontId="3" fillId="0" borderId="0" xfId="1" applyNumberFormat="1" applyFont="1" applyBorder="1" applyAlignment="1">
      <alignment horizontal="right"/>
    </xf>
    <xf numFmtId="164" fontId="11" fillId="2" borderId="0" xfId="1" applyNumberFormat="1" applyFont="1" applyFill="1" applyBorder="1" applyAlignment="1"/>
    <xf numFmtId="0" fontId="4" fillId="0" borderId="0" xfId="0" applyFont="1" applyBorder="1" applyAlignment="1">
      <alignment wrapText="1"/>
    </xf>
    <xf numFmtId="164" fontId="16" fillId="2" borderId="0" xfId="1" applyNumberFormat="1" applyFont="1" applyFill="1" applyBorder="1" applyAlignment="1">
      <alignment horizontal="right"/>
    </xf>
    <xf numFmtId="164" fontId="17" fillId="2" borderId="0" xfId="1" applyNumberFormat="1" applyFont="1" applyFill="1" applyBorder="1" applyAlignment="1"/>
    <xf numFmtId="164" fontId="16" fillId="0" borderId="0" xfId="1" applyNumberFormat="1" applyFont="1" applyBorder="1" applyAlignment="1">
      <alignment horizontal="right"/>
    </xf>
    <xf numFmtId="164" fontId="17" fillId="0" borderId="0" xfId="1" applyNumberFormat="1" applyFont="1" applyBorder="1" applyAlignment="1"/>
    <xf numFmtId="164" fontId="18" fillId="0" borderId="0" xfId="1" applyNumberFormat="1" applyFont="1" applyBorder="1" applyAlignment="1"/>
    <xf numFmtId="164" fontId="18" fillId="0" borderId="0" xfId="1" applyNumberFormat="1" applyFont="1" applyBorder="1" applyAlignment="1">
      <alignment horizontal="right"/>
    </xf>
    <xf numFmtId="164" fontId="18" fillId="0" borderId="1" xfId="1" applyNumberFormat="1" applyFont="1" applyBorder="1" applyAlignment="1"/>
    <xf numFmtId="0" fontId="0" fillId="0" borderId="0" xfId="0" applyBorder="1"/>
    <xf numFmtId="0" fontId="15" fillId="0" borderId="0" xfId="0" applyFont="1" applyBorder="1" applyAlignment="1">
      <alignment vertical="center" wrapText="1"/>
    </xf>
    <xf numFmtId="3" fontId="19" fillId="0" borderId="0" xfId="0" applyNumberFormat="1" applyFont="1" applyFill="1" applyBorder="1"/>
    <xf numFmtId="3" fontId="3" fillId="0" borderId="0" xfId="0" applyNumberFormat="1" applyFont="1" applyFill="1" applyBorder="1" applyAlignment="1"/>
    <xf numFmtId="164" fontId="20" fillId="0" borderId="0" xfId="1" applyNumberFormat="1" applyFont="1" applyFill="1" applyBorder="1" applyAlignment="1">
      <alignment vertical="center"/>
    </xf>
    <xf numFmtId="0" fontId="6" fillId="3" borderId="0" xfId="1" applyNumberFormat="1" applyFont="1" applyFill="1" applyBorder="1" applyAlignment="1">
      <alignment horizontal="center"/>
    </xf>
    <xf numFmtId="0" fontId="21" fillId="0" borderId="0" xfId="0" applyFont="1" applyFill="1" applyAlignment="1">
      <alignment horizontal="center"/>
    </xf>
    <xf numFmtId="0" fontId="23" fillId="0" borderId="0" xfId="0" applyFont="1" applyAlignment="1">
      <alignment horizontal="left" vertical="center" indent="5"/>
    </xf>
    <xf numFmtId="0" fontId="3" fillId="0" borderId="0" xfId="1" applyNumberFormat="1" applyFont="1" applyAlignment="1"/>
    <xf numFmtId="43" fontId="3" fillId="0" borderId="0" xfId="1" applyNumberFormat="1" applyFont="1" applyAlignment="1"/>
    <xf numFmtId="165" fontId="3" fillId="0" borderId="0" xfId="1" applyNumberFormat="1" applyFont="1" applyAlignment="1"/>
    <xf numFmtId="17" fontId="5" fillId="0" borderId="0" xfId="0" applyNumberFormat="1" applyFont="1" applyAlignment="1">
      <alignment horizontal="left"/>
    </xf>
    <xf numFmtId="0" fontId="25" fillId="0" borderId="0" xfId="0" applyFont="1" applyAlignment="1">
      <alignment vertical="center"/>
    </xf>
    <xf numFmtId="0" fontId="27" fillId="4" borderId="4" xfId="0" applyFont="1" applyFill="1" applyBorder="1" applyAlignment="1">
      <alignment vertical="center"/>
    </xf>
    <xf numFmtId="0" fontId="27" fillId="0" borderId="4" xfId="0" applyFont="1" applyBorder="1"/>
    <xf numFmtId="164" fontId="0" fillId="0" borderId="4" xfId="0" applyNumberFormat="1" applyBorder="1"/>
    <xf numFmtId="3" fontId="0" fillId="0" borderId="4" xfId="0" applyNumberFormat="1" applyBorder="1"/>
    <xf numFmtId="0" fontId="0" fillId="0" borderId="4" xfId="0" applyBorder="1"/>
    <xf numFmtId="3" fontId="3" fillId="0" borderId="0" xfId="1" applyNumberFormat="1" applyFont="1" applyAlignment="1"/>
    <xf numFmtId="0" fontId="27" fillId="4" borderId="4" xfId="0" applyFont="1" applyFill="1" applyBorder="1"/>
    <xf numFmtId="164" fontId="0" fillId="0" borderId="4" xfId="1" applyNumberFormat="1" applyFont="1" applyBorder="1"/>
    <xf numFmtId="164" fontId="27" fillId="0" borderId="4" xfId="1" applyNumberFormat="1" applyFont="1" applyBorder="1"/>
    <xf numFmtId="166" fontId="3" fillId="0" borderId="0" xfId="1" applyNumberFormat="1" applyFont="1" applyAlignment="1">
      <alignment horizontal="center"/>
    </xf>
    <xf numFmtId="166" fontId="3" fillId="0" borderId="0" xfId="0" applyNumberFormat="1" applyFont="1" applyAlignment="1">
      <alignment horizontal="center"/>
    </xf>
    <xf numFmtId="0" fontId="29" fillId="0" borderId="1" xfId="0" applyFont="1" applyFill="1" applyBorder="1" applyAlignment="1"/>
    <xf numFmtId="10" fontId="28" fillId="0" borderId="0" xfId="2" applyNumberFormat="1" applyFont="1" applyFill="1" applyBorder="1" applyAlignment="1"/>
    <xf numFmtId="9" fontId="3" fillId="0" borderId="0" xfId="2" applyFont="1" applyFill="1" applyBorder="1" applyAlignment="1"/>
    <xf numFmtId="167" fontId="3" fillId="0" borderId="0" xfId="2" applyNumberFormat="1" applyFont="1" applyFill="1" applyBorder="1" applyAlignment="1"/>
    <xf numFmtId="164" fontId="4" fillId="0" borderId="0" xfId="1" applyNumberFormat="1" applyFont="1" applyFill="1" applyAlignment="1">
      <alignment horizontal="right"/>
    </xf>
    <xf numFmtId="0" fontId="8" fillId="0" borderId="0" xfId="0" applyFont="1" applyFill="1" applyBorder="1" applyAlignment="1"/>
    <xf numFmtId="3" fontId="8" fillId="0" borderId="0" xfId="0" applyNumberFormat="1" applyFont="1" applyBorder="1"/>
    <xf numFmtId="167" fontId="8" fillId="0" borderId="0" xfId="2" applyNumberFormat="1" applyFont="1" applyFill="1" applyBorder="1" applyAlignment="1"/>
    <xf numFmtId="3" fontId="0" fillId="0" borderId="0" xfId="0" applyNumberFormat="1"/>
    <xf numFmtId="3" fontId="30" fillId="0" borderId="0" xfId="0" applyNumberFormat="1" applyFont="1" applyFill="1" applyBorder="1"/>
    <xf numFmtId="3" fontId="11" fillId="0" borderId="0" xfId="0" applyNumberFormat="1" applyFont="1" applyBorder="1"/>
    <xf numFmtId="3" fontId="31" fillId="0" borderId="0" xfId="0" applyNumberFormat="1" applyFont="1"/>
    <xf numFmtId="3" fontId="11" fillId="0" borderId="0" xfId="0" applyNumberFormat="1" applyFont="1" applyFill="1" applyBorder="1" applyAlignment="1"/>
    <xf numFmtId="0" fontId="11" fillId="0" borderId="0" xfId="0" applyFont="1" applyAlignment="1"/>
    <xf numFmtId="3" fontId="31" fillId="0" borderId="0" xfId="0" applyNumberFormat="1" applyFont="1" applyBorder="1"/>
    <xf numFmtId="0" fontId="11" fillId="0" borderId="0" xfId="0" applyFont="1" applyFill="1" applyBorder="1" applyAlignment="1">
      <alignment horizontal="center"/>
    </xf>
    <xf numFmtId="164" fontId="11" fillId="0" borderId="0" xfId="1" applyNumberFormat="1" applyFont="1" applyFill="1" applyBorder="1" applyAlignment="1">
      <alignment horizontal="right" vertical="top"/>
    </xf>
    <xf numFmtId="164" fontId="11" fillId="0" borderId="0" xfId="1" applyNumberFormat="1" applyFont="1" applyFill="1" applyBorder="1" applyAlignment="1"/>
    <xf numFmtId="0" fontId="12" fillId="0" borderId="1" xfId="0" applyFont="1" applyFill="1" applyBorder="1" applyAlignment="1">
      <alignment horizontal="center"/>
    </xf>
    <xf numFmtId="10" fontId="11" fillId="0" borderId="0" xfId="2" applyNumberFormat="1" applyFont="1" applyFill="1" applyBorder="1" applyAlignment="1"/>
    <xf numFmtId="167" fontId="11" fillId="0" borderId="0" xfId="2" applyNumberFormat="1" applyFont="1" applyFill="1" applyBorder="1" applyAlignment="1"/>
    <xf numFmtId="168" fontId="11" fillId="0" borderId="0" xfId="2" applyNumberFormat="1" applyFont="1" applyFill="1" applyBorder="1" applyAlignment="1"/>
    <xf numFmtId="0" fontId="3" fillId="0" borderId="4" xfId="0" applyFont="1" applyBorder="1"/>
    <xf numFmtId="164" fontId="3" fillId="0" borderId="4" xfId="0" applyNumberFormat="1" applyFont="1" applyBorder="1"/>
    <xf numFmtId="3" fontId="3" fillId="0" borderId="4" xfId="0" applyNumberFormat="1" applyFont="1" applyBorder="1"/>
    <xf numFmtId="0" fontId="6" fillId="5" borderId="4" xfId="0" applyFont="1" applyFill="1" applyBorder="1" applyAlignment="1">
      <alignment vertical="center"/>
    </xf>
    <xf numFmtId="0" fontId="6" fillId="5" borderId="4" xfId="0" applyFont="1" applyFill="1" applyBorder="1" applyAlignment="1">
      <alignment horizontal="center" vertical="center"/>
    </xf>
    <xf numFmtId="0" fontId="6" fillId="0" borderId="4" xfId="0" applyFont="1" applyBorder="1"/>
    <xf numFmtId="164" fontId="6" fillId="0" borderId="4" xfId="0" applyNumberFormat="1" applyFont="1" applyBorder="1"/>
    <xf numFmtId="3" fontId="6" fillId="0" borderId="4" xfId="0" applyNumberFormat="1" applyFont="1" applyBorder="1"/>
    <xf numFmtId="3" fontId="0" fillId="0" borderId="4" xfId="0" applyNumberFormat="1" applyFont="1" applyFill="1" applyBorder="1"/>
    <xf numFmtId="3" fontId="8" fillId="0" borderId="4" xfId="0" applyNumberFormat="1" applyFont="1" applyFill="1" applyBorder="1"/>
    <xf numFmtId="3" fontId="30" fillId="0" borderId="4" xfId="0" applyNumberFormat="1" applyFont="1" applyFill="1" applyBorder="1"/>
    <xf numFmtId="3" fontId="11" fillId="0" borderId="4" xfId="0" applyNumberFormat="1" applyFont="1" applyFill="1" applyBorder="1"/>
    <xf numFmtId="3" fontId="8" fillId="0" borderId="0" xfId="1" applyNumberFormat="1" applyFont="1" applyAlignment="1"/>
    <xf numFmtId="164" fontId="8" fillId="0" borderId="0" xfId="1" applyNumberFormat="1" applyFont="1" applyAlignment="1"/>
    <xf numFmtId="9" fontId="32" fillId="0" borderId="0" xfId="2" applyFont="1" applyFill="1" applyBorder="1" applyAlignment="1"/>
    <xf numFmtId="0" fontId="33" fillId="0" borderId="1" xfId="0" applyFont="1" applyFill="1" applyBorder="1" applyAlignment="1">
      <alignment horizontal="center"/>
    </xf>
    <xf numFmtId="164" fontId="27" fillId="0" borderId="4" xfId="0" applyNumberFormat="1" applyFont="1" applyBorder="1"/>
    <xf numFmtId="3" fontId="27" fillId="0" borderId="4" xfId="0" applyNumberFormat="1" applyFont="1" applyBorder="1"/>
    <xf numFmtId="3" fontId="12" fillId="0" borderId="4" xfId="0" applyNumberFormat="1" applyFont="1" applyFill="1" applyBorder="1" applyAlignment="1"/>
    <xf numFmtId="0" fontId="27" fillId="4" borderId="4" xfId="0" applyFont="1" applyFill="1" applyBorder="1" applyAlignment="1">
      <alignment horizontal="center" vertical="center"/>
    </xf>
    <xf numFmtId="164" fontId="3" fillId="0" borderId="0" xfId="0" applyNumberFormat="1" applyFont="1"/>
    <xf numFmtId="0" fontId="12" fillId="5" borderId="4" xfId="0" applyFont="1" applyFill="1" applyBorder="1" applyAlignment="1">
      <alignment horizontal="center" vertical="center"/>
    </xf>
    <xf numFmtId="0" fontId="3" fillId="0" borderId="0" xfId="0" applyFont="1" applyAlignment="1">
      <alignment horizontal="left"/>
    </xf>
    <xf numFmtId="164" fontId="6" fillId="0" borderId="0" xfId="1" applyNumberFormat="1" applyFont="1" applyFill="1"/>
  </cellXfs>
  <cellStyles count="11">
    <cellStyle name="Comma" xfId="1" builtinId="3"/>
    <cellStyle name="Comma 2" xfId="4"/>
    <cellStyle name="Comma 2 2" xfId="9"/>
    <cellStyle name="Comma 3" xfId="7"/>
    <cellStyle name="Normal" xfId="0" builtinId="0"/>
    <cellStyle name="Normal 2" xfId="3"/>
    <cellStyle name="Normal 2 2" xfId="8"/>
    <cellStyle name="Normal 3" xfId="6"/>
    <cellStyle name="Percent" xfId="2" builtinId="5"/>
    <cellStyle name="Percent 2" xfId="5"/>
    <cellStyle name="Percent 2 2" xfId="10"/>
  </cellStyles>
  <dxfs count="88">
    <dxf>
      <font>
        <strike val="0"/>
        <outline val="0"/>
        <shadow val="0"/>
        <u val="none"/>
        <vertAlign val="baseline"/>
        <sz val="10"/>
        <name val="Calibri"/>
        <scheme val="minor"/>
      </font>
      <alignment textRotation="0" wrapText="0" indent="0" justifyLastLine="0" shrinkToFit="0" readingOrder="0"/>
    </dxf>
    <dxf>
      <font>
        <strike val="0"/>
        <outline val="0"/>
        <shadow val="0"/>
        <u val="none"/>
        <vertAlign val="baseline"/>
        <sz val="10"/>
        <color auto="1"/>
        <name val="Calibri"/>
        <scheme val="minor"/>
      </font>
      <alignment textRotation="0" wrapText="0" indent="0" justifyLastLine="0" shrinkToFit="0" readingOrder="0"/>
    </dxf>
    <dxf>
      <font>
        <strike val="0"/>
        <outline val="0"/>
        <shadow val="0"/>
        <u val="none"/>
        <vertAlign val="baseline"/>
        <sz val="10"/>
        <name val="Calibri"/>
        <scheme val="minor"/>
      </font>
      <alignment textRotation="0" wrapText="0" indent="0" justifyLastLine="0" shrinkToFit="0" readingOrder="0"/>
    </dxf>
    <dxf>
      <font>
        <strike val="0"/>
        <outline val="0"/>
        <shadow val="0"/>
        <u val="none"/>
        <vertAlign val="baseline"/>
        <sz val="10"/>
        <name val="Calibri"/>
        <scheme val="minor"/>
      </font>
      <alignment textRotation="0" wrapText="0" indent="0" justifyLastLine="0" shrinkToFit="0" readingOrder="0"/>
      <border diagonalUp="0" diagonalDown="0">
        <left/>
        <right style="thin">
          <color indexed="64"/>
        </right>
        <top/>
        <bottom/>
        <vertical/>
        <horizontal/>
      </border>
    </dxf>
    <dxf>
      <font>
        <strike val="0"/>
        <outline val="0"/>
        <shadow val="0"/>
        <u val="none"/>
        <vertAlign val="baseline"/>
        <sz val="10"/>
        <name val="Calibri"/>
        <scheme val="minor"/>
      </font>
      <alignment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0"/>
        <color rgb="FF000000"/>
        <name val="Calibri"/>
        <scheme val="minor"/>
      </font>
      <numFmt numFmtId="164" formatCode="_(* #,##0_);_(* \(#,##0\);_(* &quot;-&quot;??_);_(@_)"/>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10"/>
        <color theme="1"/>
        <name val="Calibri"/>
        <scheme val="minor"/>
      </font>
      <numFmt numFmtId="164" formatCode="_(* #,##0_);_(* \(#,##0\);_(* &quot;-&quot;??_);_(@_)"/>
      <fill>
        <patternFill patternType="none">
          <fgColor indexed="64"/>
          <bgColor indexed="65"/>
        </patternFill>
      </fill>
      <alignment textRotation="0" wrapText="0" indent="0" justifyLastLine="0" shrinkToFit="0" readingOrder="0"/>
    </dxf>
    <dxf>
      <font>
        <b val="0"/>
        <i val="0"/>
        <strike val="0"/>
        <condense val="0"/>
        <extend val="0"/>
        <outline val="0"/>
        <shadow val="0"/>
        <u val="none"/>
        <vertAlign val="baseline"/>
        <sz val="10"/>
        <color theme="1"/>
        <name val="Calibri"/>
        <scheme val="minor"/>
      </font>
      <numFmt numFmtId="164" formatCode="_(* #,##0_);_(* \(#,##0\);_(* &quot;-&quot;??_);_(@_)"/>
      <fill>
        <patternFill patternType="none">
          <fgColor indexed="64"/>
          <bgColor indexed="65"/>
        </patternFill>
      </fill>
      <alignment textRotation="0" wrapText="0" indent="0" justifyLastLine="0" shrinkToFit="0" readingOrder="0"/>
    </dxf>
    <dxf>
      <font>
        <b val="0"/>
        <i val="0"/>
        <strike val="0"/>
        <condense val="0"/>
        <extend val="0"/>
        <outline val="0"/>
        <shadow val="0"/>
        <u val="none"/>
        <vertAlign val="baseline"/>
        <sz val="10"/>
        <color theme="1"/>
        <name val="Calibri"/>
        <scheme val="minor"/>
      </font>
      <numFmt numFmtId="164" formatCode="_(* #,##0_);_(* \(#,##0\);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indexed="8"/>
        <name val="Calibri"/>
        <scheme val="minor"/>
      </font>
      <numFmt numFmtId="164" formatCode="_(* #,##0_);_(* \(#,##0\);_(* &quot;-&quot;??_);_(@_)"/>
      <fill>
        <patternFill patternType="none">
          <fgColor indexed="64"/>
          <bgColor indexed="65"/>
        </patternFill>
      </fill>
      <alignment textRotation="0" wrapText="0" indent="0" justifyLastLine="0" shrinkToFit="0" readingOrder="0"/>
    </dxf>
    <dxf>
      <font>
        <b val="0"/>
        <i val="0"/>
        <strike val="0"/>
        <condense val="0"/>
        <extend val="0"/>
        <outline val="0"/>
        <shadow val="0"/>
        <u val="none"/>
        <vertAlign val="baseline"/>
        <sz val="10"/>
        <color rgb="FF000000"/>
        <name val="Calibri"/>
        <scheme val="minor"/>
      </font>
      <numFmt numFmtId="164" formatCode="_(* #,##0_);_(* \(#,##0\);_(* &quot;-&quot;??_);_(@_)"/>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sz val="10"/>
        <name val="Calibri"/>
        <scheme val="minor"/>
      </font>
      <numFmt numFmtId="164" formatCode="_(* #,##0_);_(* \(#,##0\);_(* &quot;-&quot;??_);_(@_)"/>
      <alignment textRotation="0" wrapText="0" indent="0" justifyLastLine="0" shrinkToFit="0" readingOrder="0"/>
    </dxf>
    <dxf>
      <font>
        <b val="0"/>
        <i val="0"/>
        <strike val="0"/>
        <condense val="0"/>
        <extend val="0"/>
        <outline val="0"/>
        <shadow val="0"/>
        <u val="none"/>
        <vertAlign val="baseline"/>
        <sz val="10"/>
        <color rgb="FF000000"/>
        <name val="Calibri"/>
        <scheme val="minor"/>
      </font>
      <numFmt numFmtId="164" formatCode="_(* #,##0_);_(* \(#,##0\);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rgb="FF000000"/>
        <name val="Calibri"/>
        <scheme val="minor"/>
      </font>
      <numFmt numFmtId="164" formatCode="_(* #,##0_);_(* \(#,##0\);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Calibri"/>
        <scheme val="minor"/>
      </font>
      <numFmt numFmtId="164" formatCode="_(* #,##0_);_(* \(#,##0\);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rgb="FF000000"/>
        <name val="Calibri"/>
        <scheme val="minor"/>
      </font>
      <numFmt numFmtId="164" formatCode="_(* #,##0_);_(* \(#,##0\);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rgb="FF000000"/>
        <name val="Calibri"/>
        <scheme val="minor"/>
      </font>
      <numFmt numFmtId="164" formatCode="_(* #,##0_);_(* \(#,##0\);_(* &quot;-&quot;??_);_(@_)"/>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10"/>
        <color rgb="FF000000"/>
        <name val="Calibri"/>
        <scheme val="minor"/>
      </font>
      <numFmt numFmtId="164" formatCode="_(* #,##0_);_(* \(#,##0\);_(* &quot;-&quot;??_);_(@_)"/>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10"/>
        <color rgb="FF000000"/>
        <name val="Calibri"/>
        <scheme val="minor"/>
      </font>
      <fill>
        <patternFill patternType="none">
          <fgColor indexed="64"/>
          <bgColor indexed="65"/>
        </patternFill>
      </fill>
      <alignment horizontal="general" vertical="top" textRotation="0" wrapText="0" indent="0" justifyLastLine="0" shrinkToFit="0" readingOrder="0"/>
    </dxf>
    <dxf>
      <font>
        <strike val="0"/>
        <outline val="0"/>
        <shadow val="0"/>
        <u val="none"/>
        <vertAlign val="baseline"/>
        <sz val="10"/>
        <name val="Calibri"/>
        <scheme val="minor"/>
      </font>
      <alignment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Calibri"/>
        <scheme val="minor"/>
      </font>
      <numFmt numFmtId="14" formatCode="0.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inor"/>
      </font>
      <numFmt numFmtId="14" formatCode="0.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general" vertical="bottom" textRotation="0" wrapText="0" indent="0" justifyLastLine="0" shrinkToFit="0" readingOrder="0"/>
    </dxf>
    <dxf>
      <font>
        <strike val="0"/>
        <outline val="0"/>
        <shadow val="0"/>
        <u val="none"/>
        <vertAlign val="baseline"/>
        <sz val="10"/>
        <name val="Calibri"/>
        <scheme val="minor"/>
      </font>
      <alignment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textRotation="0" wrapText="0" indent="0" justifyLastLine="0" shrinkToFit="0" readingOrder="0"/>
    </dxf>
    <dxf>
      <border outline="0">
        <bottom style="thin">
          <color theme="1"/>
        </bottom>
      </border>
    </dxf>
    <dxf>
      <font>
        <b/>
        <i val="0"/>
        <strike val="0"/>
        <condense val="0"/>
        <extend val="0"/>
        <outline val="0"/>
        <shadow val="0"/>
        <u val="none"/>
        <vertAlign val="baseline"/>
        <sz val="10"/>
        <color theme="1"/>
        <name val="Calibri"/>
        <scheme val="minor"/>
      </font>
      <alignment textRotation="0" wrapText="0" indent="0" justifyLastLine="0" shrinkToFit="0" readingOrder="0"/>
    </dxf>
    <dxf>
      <font>
        <strike val="0"/>
        <outline val="0"/>
        <shadow val="0"/>
        <u val="none"/>
        <vertAlign val="baseline"/>
        <sz val="10"/>
        <name val="Calibri"/>
        <scheme val="minor"/>
      </font>
      <numFmt numFmtId="164" formatCode="_(* #,##0_);_(* \(#,##0\);_(* &quot;-&quot;??_);_(@_)"/>
      <alignment vertical="bottom" textRotation="0" wrapText="0" indent="0" justifyLastLine="0" shrinkToFit="0" readingOrder="0"/>
    </dxf>
    <dxf>
      <font>
        <strike val="0"/>
        <outline val="0"/>
        <shadow val="0"/>
        <u val="none"/>
        <vertAlign val="baseline"/>
        <sz val="10"/>
        <name val="Calibri"/>
        <scheme val="minor"/>
      </font>
      <numFmt numFmtId="164" formatCode="_(* #,##0_);_(* \(#,##0\);_(* &quot;-&quot;??_);_(@_)"/>
      <alignment vertical="bottom" textRotation="0" wrapText="0" indent="0" justifyLastLine="0" shrinkToFit="0" readingOrder="0"/>
    </dxf>
    <dxf>
      <font>
        <strike val="0"/>
        <outline val="0"/>
        <shadow val="0"/>
        <u val="none"/>
        <vertAlign val="baseline"/>
        <sz val="10"/>
        <name val="Calibri"/>
        <scheme val="minor"/>
      </font>
      <numFmt numFmtId="164" formatCode="_(* #,##0_);_(* \(#,##0\);_(* &quot;-&quot;??_);_(@_)"/>
      <alignment vertical="bottom" textRotation="0" wrapText="0" indent="0" justifyLastLine="0" shrinkToFit="0" readingOrder="0"/>
    </dxf>
    <dxf>
      <font>
        <strike val="0"/>
        <outline val="0"/>
        <shadow val="0"/>
        <u val="none"/>
        <vertAlign val="baseline"/>
        <sz val="10"/>
        <color rgb="FFFF0000"/>
        <name val="Calibri"/>
        <scheme val="minor"/>
      </font>
      <alignment vertical="bottom" textRotation="0" wrapText="0" indent="0" justifyLastLine="0" shrinkToFit="0" readingOrder="0"/>
    </dxf>
    <dxf>
      <font>
        <strike val="0"/>
        <outline val="0"/>
        <shadow val="0"/>
        <u val="none"/>
        <vertAlign val="baseline"/>
        <sz val="10"/>
        <name val="Calibri"/>
        <scheme val="minor"/>
      </font>
      <alignment vertical="bottom" textRotation="0" wrapText="0" indent="0" justifyLastLine="0" shrinkToFit="0" readingOrder="0"/>
    </dxf>
    <dxf>
      <font>
        <strike val="0"/>
        <outline val="0"/>
        <shadow val="0"/>
        <u val="none"/>
        <vertAlign val="baseline"/>
        <sz val="10"/>
        <name val="Calibri"/>
        <scheme val="minor"/>
      </font>
      <numFmt numFmtId="164" formatCode="_(* #,##0_);_(* \(#,##0\);_(* &quot;-&quot;??_);_(@_)"/>
      <alignment vertical="bottom" textRotation="0" wrapText="0" indent="0" justifyLastLine="0" shrinkToFit="0" readingOrder="0"/>
    </dxf>
    <dxf>
      <font>
        <strike val="0"/>
        <outline val="0"/>
        <shadow val="0"/>
        <u val="none"/>
        <vertAlign val="baseline"/>
        <sz val="10"/>
        <name val="Calibri"/>
        <scheme val="minor"/>
      </font>
      <numFmt numFmtId="164" formatCode="_(* #,##0_);_(* \(#,##0\);_(* &quot;-&quot;??_);_(@_)"/>
      <alignment vertical="bottom" textRotation="0" wrapText="0" indent="0" justifyLastLine="0" shrinkToFit="0" readingOrder="0"/>
    </dxf>
    <dxf>
      <font>
        <b/>
        <i val="0"/>
        <strike val="0"/>
        <condense val="0"/>
        <extend val="0"/>
        <outline val="0"/>
        <shadow val="0"/>
        <u val="none"/>
        <vertAlign val="baseline"/>
        <sz val="10"/>
        <color theme="1"/>
        <name val="Calibri"/>
        <scheme val="minor"/>
      </font>
      <numFmt numFmtId="164" formatCode="_(* #,##0_);_(* \(#,##0\);_(* &quot;-&quot;??_);_(@_)"/>
      <fill>
        <patternFill patternType="none">
          <fgColor indexed="64"/>
          <bgColor indexed="65"/>
        </patternFill>
      </fill>
      <alignment vertical="bottom" textRotation="0" wrapText="0" indent="0" justifyLastLine="0" shrinkToFit="0" readingOrder="0"/>
    </dxf>
    <dxf>
      <font>
        <b val="0"/>
        <i val="0"/>
        <strike val="0"/>
        <condense val="0"/>
        <extend val="0"/>
        <outline val="0"/>
        <shadow val="0"/>
        <u val="none"/>
        <vertAlign val="baseline"/>
        <sz val="10"/>
        <color theme="1"/>
        <name val="Calibri"/>
        <scheme val="minor"/>
      </font>
      <numFmt numFmtId="164" formatCode="_(* #,##0_);_(* \(#,##0\);_(* &quot;-&quot;??_);_(@_)"/>
      <fill>
        <patternFill patternType="none">
          <fgColor indexed="64"/>
          <bgColor indexed="65"/>
        </patternFill>
      </fill>
      <alignment vertical="bottom" textRotation="0" wrapText="0" indent="0" justifyLastLine="0" shrinkToFit="0" readingOrder="0"/>
    </dxf>
    <dxf>
      <font>
        <b val="0"/>
        <i val="0"/>
        <strike val="0"/>
        <condense val="0"/>
        <extend val="0"/>
        <outline val="0"/>
        <shadow val="0"/>
        <u val="none"/>
        <vertAlign val="baseline"/>
        <sz val="10"/>
        <color theme="1"/>
        <name val="Calibri"/>
        <scheme val="minor"/>
      </font>
      <numFmt numFmtId="164" formatCode="_(* #,##0_);_(* \(#,##0\);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Calibri"/>
        <scheme val="minor"/>
      </font>
      <numFmt numFmtId="164" formatCode="_(* #,##0_);_(* \(#,##0\);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indexed="8"/>
        <name val="Calibri"/>
        <scheme val="minor"/>
      </font>
      <numFmt numFmtId="164" formatCode="_(* #,##0_);_(* \(#,##0\);_(* &quot;-&quot;??_);_(@_)"/>
      <fill>
        <patternFill patternType="none">
          <fgColor indexed="64"/>
          <bgColor indexed="65"/>
        </patternFill>
      </fill>
      <alignment vertical="bottom" textRotation="0" wrapText="0" indent="0" justifyLastLine="0" shrinkToFit="0" readingOrder="0"/>
    </dxf>
    <dxf>
      <font>
        <b val="0"/>
        <i val="0"/>
        <strike val="0"/>
        <condense val="0"/>
        <extend val="0"/>
        <outline val="0"/>
        <shadow val="0"/>
        <u val="none"/>
        <vertAlign val="baseline"/>
        <sz val="10"/>
        <color rgb="FF000000"/>
        <name val="Calibri"/>
        <scheme val="minor"/>
      </font>
      <numFmt numFmtId="164" formatCode="_(* #,##0_);_(* \(#,##0\);_(* &quot;-&quot;??_);_(@_)"/>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sz val="10"/>
        <name val="Calibri"/>
        <scheme val="minor"/>
      </font>
      <numFmt numFmtId="164" formatCode="_(* #,##0_);_(* \(#,##0\);_(* &quot;-&quot;??_);_(@_)"/>
      <alignment vertical="bottom" textRotation="0" wrapText="0" indent="0" justifyLastLine="0" shrinkToFit="0" readingOrder="0"/>
    </dxf>
    <dxf>
      <font>
        <b val="0"/>
        <i val="0"/>
        <strike val="0"/>
        <condense val="0"/>
        <extend val="0"/>
        <outline val="0"/>
        <shadow val="0"/>
        <u val="none"/>
        <vertAlign val="baseline"/>
        <sz val="10"/>
        <color rgb="FF000000"/>
        <name val="Calibri"/>
        <scheme val="minor"/>
      </font>
      <numFmt numFmtId="164" formatCode="_(* #,##0_);_(* \(#,##0\);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rgb="FF000000"/>
        <name val="Calibri"/>
        <scheme val="minor"/>
      </font>
      <numFmt numFmtId="164" formatCode="_(* #,##0_);_(* \(#,##0\);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Calibri"/>
        <scheme val="minor"/>
      </font>
      <numFmt numFmtId="164" formatCode="_(* #,##0_);_(* \(#,##0\);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rgb="FF000000"/>
        <name val="Calibri"/>
        <scheme val="minor"/>
      </font>
      <numFmt numFmtId="164" formatCode="_(* #,##0_);_(* \(#,##0\);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rgb="FF000000"/>
        <name val="Calibri"/>
        <scheme val="minor"/>
      </font>
      <numFmt numFmtId="164" formatCode="_(* #,##0_);_(* \(#,##0\);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rgb="FF000000"/>
        <name val="Calibri"/>
        <scheme val="minor"/>
      </font>
      <numFmt numFmtId="164" formatCode="_(* #,##0_);_(* \(#,##0\);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rgb="FF000000"/>
        <name val="Calibri"/>
        <scheme val="minor"/>
      </font>
      <fill>
        <patternFill patternType="none">
          <fgColor indexed="64"/>
          <bgColor indexed="65"/>
        </patternFill>
      </fill>
      <alignment horizontal="general" vertical="bottom" textRotation="0" wrapText="0" indent="0" justifyLastLine="0" shrinkToFit="0" readingOrder="0"/>
    </dxf>
    <dxf>
      <font>
        <strike val="0"/>
        <outline val="0"/>
        <shadow val="0"/>
        <u val="none"/>
        <vertAlign val="baseline"/>
        <sz val="10"/>
        <name val="Calibri"/>
        <scheme val="minor"/>
      </font>
      <alignment vertical="bottom"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inor"/>
      </font>
      <numFmt numFmtId="164" formatCode="_(* #,##0_);_(* \(#,##0\);_(* &quot;-&quot;??_);_(@_)"/>
      <fill>
        <patternFill patternType="none">
          <fgColor indexed="64"/>
          <bgColor auto="1"/>
        </patternFill>
      </fill>
    </dxf>
    <dxf>
      <font>
        <b val="0"/>
        <i val="0"/>
        <strike val="0"/>
        <condense val="0"/>
        <extend val="0"/>
        <outline val="0"/>
        <shadow val="0"/>
        <u val="none"/>
        <vertAlign val="baseline"/>
        <sz val="10"/>
        <color theme="1"/>
        <name val="Calibri"/>
        <scheme val="minor"/>
      </font>
      <numFmt numFmtId="164" formatCode="_(* #,##0_);_(* \(#,##0\);_(* &quot;-&quot;??_);_(@_)"/>
      <fill>
        <patternFill patternType="none">
          <fgColor indexed="64"/>
          <bgColor auto="1"/>
        </patternFill>
      </fill>
    </dxf>
    <dxf>
      <font>
        <b val="0"/>
        <i val="0"/>
        <strike val="0"/>
        <condense val="0"/>
        <extend val="0"/>
        <outline val="0"/>
        <shadow val="0"/>
        <u val="none"/>
        <vertAlign val="baseline"/>
        <sz val="10"/>
        <color theme="1"/>
        <name val="Calibri"/>
        <scheme val="minor"/>
      </font>
      <numFmt numFmtId="164" formatCode="_(* #,##0_);_(* \(#,##0\);_(* &quot;-&quot;??_);_(@_)"/>
      <fill>
        <patternFill patternType="none">
          <fgColor indexed="64"/>
          <bgColor auto="1"/>
        </patternFill>
      </fill>
    </dxf>
    <dxf>
      <font>
        <b val="0"/>
        <i val="0"/>
        <strike val="0"/>
        <condense val="0"/>
        <extend val="0"/>
        <outline val="0"/>
        <shadow val="0"/>
        <u val="none"/>
        <vertAlign val="baseline"/>
        <sz val="10"/>
        <color theme="1"/>
        <name val="Calibri"/>
        <scheme val="minor"/>
      </font>
      <numFmt numFmtId="164" formatCode="_(* #,##0_);_(* \(#,##0\);_(* &quot;-&quot;??_);_(@_)"/>
      <fill>
        <patternFill patternType="none">
          <fgColor indexed="64"/>
          <bgColor auto="1"/>
        </patternFill>
      </fill>
    </dxf>
    <dxf>
      <font>
        <b val="0"/>
        <i val="0"/>
        <strike val="0"/>
        <condense val="0"/>
        <extend val="0"/>
        <outline val="0"/>
        <shadow val="0"/>
        <u val="none"/>
        <vertAlign val="baseline"/>
        <sz val="10"/>
        <color theme="1"/>
        <name val="Calibri"/>
        <scheme val="minor"/>
      </font>
      <numFmt numFmtId="164" formatCode="_(* #,##0_);_(* \(#,##0\);_(* &quot;-&quot;??_);_(@_)"/>
      <fill>
        <patternFill patternType="none">
          <fgColor indexed="64"/>
          <bgColor auto="1"/>
        </patternFill>
      </fill>
    </dxf>
    <dxf>
      <font>
        <b val="0"/>
        <i val="0"/>
        <strike val="0"/>
        <condense val="0"/>
        <extend val="0"/>
        <outline val="0"/>
        <shadow val="0"/>
        <u val="none"/>
        <vertAlign val="baseline"/>
        <sz val="10"/>
        <color theme="1"/>
        <name val="Calibri"/>
        <scheme val="minor"/>
      </font>
      <numFmt numFmtId="164" formatCode="_(* #,##0_);_(* \(#,##0\);_(* &quot;-&quot;??_);_(@_)"/>
      <fill>
        <patternFill patternType="none">
          <fgColor indexed="64"/>
          <bgColor auto="1"/>
        </patternFill>
      </fill>
    </dxf>
    <dxf>
      <font>
        <b val="0"/>
        <i val="0"/>
        <strike val="0"/>
        <condense val="0"/>
        <extend val="0"/>
        <outline val="0"/>
        <shadow val="0"/>
        <u val="none"/>
        <vertAlign val="baseline"/>
        <sz val="10"/>
        <color theme="1"/>
        <name val="Calibri"/>
        <scheme val="minor"/>
      </font>
      <numFmt numFmtId="164" formatCode="_(* #,##0_);_(* \(#,##0\);_(* &quot;-&quot;??_);_(@_)"/>
      <fill>
        <patternFill patternType="none">
          <fgColor indexed="64"/>
          <bgColor auto="1"/>
        </patternFill>
      </fill>
    </dxf>
    <dxf>
      <font>
        <b val="0"/>
        <i val="0"/>
        <strike val="0"/>
        <condense val="0"/>
        <extend val="0"/>
        <outline val="0"/>
        <shadow val="0"/>
        <u val="none"/>
        <vertAlign val="baseline"/>
        <sz val="10"/>
        <color theme="1"/>
        <name val="Calibri"/>
        <scheme val="minor"/>
      </font>
      <numFmt numFmtId="164" formatCode="_(* #,##0_);_(* \(#,##0\);_(* &quot;-&quot;??_);_(@_)"/>
      <fill>
        <patternFill patternType="none">
          <fgColor indexed="64"/>
          <bgColor auto="1"/>
        </patternFill>
      </fill>
    </dxf>
    <dxf>
      <font>
        <b val="0"/>
        <i val="0"/>
        <strike val="0"/>
        <condense val="0"/>
        <extend val="0"/>
        <outline val="0"/>
        <shadow val="0"/>
        <u val="none"/>
        <vertAlign val="baseline"/>
        <sz val="10"/>
        <color theme="1"/>
        <name val="Calibri"/>
        <scheme val="minor"/>
      </font>
      <numFmt numFmtId="164" formatCode="_(* #,##0_);_(* \(#,##0\);_(* &quot;-&quot;??_);_(@_)"/>
      <fill>
        <patternFill patternType="none">
          <fgColor indexed="64"/>
          <bgColor auto="1"/>
        </patternFill>
      </fill>
    </dxf>
    <dxf>
      <font>
        <b val="0"/>
        <i val="0"/>
        <strike val="0"/>
        <condense val="0"/>
        <extend val="0"/>
        <outline val="0"/>
        <shadow val="0"/>
        <u val="none"/>
        <vertAlign val="baseline"/>
        <sz val="10"/>
        <color theme="1"/>
        <name val="Calibri"/>
        <scheme val="minor"/>
      </font>
      <numFmt numFmtId="164" formatCode="_(* #,##0_);_(* \(#,##0\);_(* &quot;-&quot;??_);_(@_)"/>
      <fill>
        <patternFill patternType="none">
          <fgColor indexed="64"/>
          <bgColor auto="1"/>
        </patternFill>
      </fill>
    </dxf>
    <dxf>
      <font>
        <b val="0"/>
        <i val="0"/>
        <strike val="0"/>
        <condense val="0"/>
        <extend val="0"/>
        <outline val="0"/>
        <shadow val="0"/>
        <u val="none"/>
        <vertAlign val="baseline"/>
        <sz val="10"/>
        <color theme="1"/>
        <name val="Calibri"/>
        <scheme val="minor"/>
      </font>
      <numFmt numFmtId="164" formatCode="_(* #,##0_);_(* \(#,##0\);_(* &quot;-&quot;??_);_(@_)"/>
      <fill>
        <patternFill patternType="none">
          <fgColor indexed="64"/>
          <bgColor auto="1"/>
        </patternFill>
      </fill>
    </dxf>
    <dxf>
      <font>
        <b val="0"/>
        <i val="0"/>
        <strike val="0"/>
        <condense val="0"/>
        <extend val="0"/>
        <outline val="0"/>
        <shadow val="0"/>
        <u val="none"/>
        <vertAlign val="baseline"/>
        <sz val="10"/>
        <color theme="1"/>
        <name val="Calibri"/>
        <scheme val="minor"/>
      </font>
      <numFmt numFmtId="164" formatCode="_(* #,##0_);_(* \(#,##0\);_(* &quot;-&quot;??_);_(@_)"/>
      <fill>
        <patternFill patternType="none">
          <fgColor indexed="64"/>
          <bgColor auto="1"/>
        </patternFill>
      </fill>
    </dxf>
    <dxf>
      <font>
        <b val="0"/>
        <i val="0"/>
        <strike val="0"/>
        <condense val="0"/>
        <extend val="0"/>
        <outline val="0"/>
        <shadow val="0"/>
        <u val="none"/>
        <vertAlign val="baseline"/>
        <sz val="10"/>
        <color theme="1"/>
        <name val="Calibri"/>
        <scheme val="minor"/>
      </font>
      <numFmt numFmtId="164" formatCode="_(* #,##0_);_(* \(#,##0\);_(* &quot;-&quot;??_);_(@_)"/>
      <fill>
        <patternFill patternType="none">
          <fgColor indexed="64"/>
          <bgColor auto="1"/>
        </patternFill>
      </fill>
    </dxf>
    <dxf>
      <font>
        <b val="0"/>
        <i val="0"/>
        <strike val="0"/>
        <condense val="0"/>
        <extend val="0"/>
        <outline val="0"/>
        <shadow val="0"/>
        <u val="none"/>
        <vertAlign val="baseline"/>
        <sz val="10"/>
        <color theme="1"/>
        <name val="Calibri"/>
        <scheme val="minor"/>
      </font>
      <numFmt numFmtId="164" formatCode="_(* #,##0_);_(* \(#,##0\);_(* &quot;-&quot;??_);_(@_)"/>
      <fill>
        <patternFill patternType="none">
          <fgColor indexed="64"/>
          <bgColor auto="1"/>
        </patternFill>
      </fill>
    </dxf>
    <dxf>
      <font>
        <b val="0"/>
        <i val="0"/>
        <strike val="0"/>
        <condense val="0"/>
        <extend val="0"/>
        <outline val="0"/>
        <shadow val="0"/>
        <u val="none"/>
        <vertAlign val="baseline"/>
        <sz val="10"/>
        <color theme="1"/>
        <name val="Calibri"/>
        <scheme val="minor"/>
      </font>
      <numFmt numFmtId="164" formatCode="_(* #,##0_);_(* \(#,##0\);_(* &quot;-&quot;??_);_(@_)"/>
      <fill>
        <patternFill patternType="none">
          <fgColor indexed="64"/>
          <bgColor auto="1"/>
        </patternFill>
      </fill>
    </dxf>
    <dxf>
      <font>
        <b val="0"/>
        <i val="0"/>
        <strike val="0"/>
        <condense val="0"/>
        <extend val="0"/>
        <outline val="0"/>
        <shadow val="0"/>
        <u val="none"/>
        <vertAlign val="baseline"/>
        <sz val="10"/>
        <color theme="1"/>
        <name val="Calibri"/>
        <scheme val="minor"/>
      </font>
      <numFmt numFmtId="164" formatCode="_(* #,##0_);_(* \(#,##0\);_(* &quot;-&quot;??_);_(@_)"/>
      <fill>
        <patternFill patternType="none">
          <fgColor indexed="64"/>
          <bgColor auto="1"/>
        </patternFill>
      </fill>
    </dxf>
    <dxf>
      <font>
        <b val="0"/>
        <i val="0"/>
        <strike val="0"/>
        <condense val="0"/>
        <extend val="0"/>
        <outline val="0"/>
        <shadow val="0"/>
        <u val="none"/>
        <vertAlign val="baseline"/>
        <sz val="10"/>
        <color theme="1"/>
        <name val="Calibri"/>
        <scheme val="minor"/>
      </font>
      <numFmt numFmtId="164" formatCode="_(* #,##0_);_(* \(#,##0\);_(* &quot;-&quot;??_);_(@_)"/>
      <fill>
        <patternFill patternType="none">
          <fgColor indexed="64"/>
          <bgColor auto="1"/>
        </patternFill>
      </fill>
    </dxf>
    <dxf>
      <font>
        <b val="0"/>
        <i val="0"/>
        <strike val="0"/>
        <condense val="0"/>
        <extend val="0"/>
        <outline val="0"/>
        <shadow val="0"/>
        <u val="none"/>
        <vertAlign val="baseline"/>
        <sz val="10"/>
        <color theme="1"/>
        <name val="Calibri"/>
        <scheme val="minor"/>
      </font>
      <numFmt numFmtId="164" formatCode="_(* #,##0_);_(* \(#,##0\);_(* &quot;-&quot;??_);_(@_)"/>
      <fill>
        <patternFill patternType="none">
          <fgColor indexed="64"/>
          <bgColor auto="1"/>
        </patternFill>
      </fill>
    </dxf>
    <dxf>
      <font>
        <b/>
        <i val="0"/>
        <strike val="0"/>
        <condense val="0"/>
        <extend val="0"/>
        <outline val="0"/>
        <shadow val="0"/>
        <u val="none"/>
        <vertAlign val="baseline"/>
        <sz val="10"/>
        <color theme="1"/>
        <name val="Calibri"/>
        <scheme val="minor"/>
      </font>
      <fill>
        <patternFill patternType="none">
          <fgColor indexed="64"/>
          <bgColor auto="1"/>
        </patternFill>
      </fill>
    </dxf>
    <dxf>
      <font>
        <b val="0"/>
        <i val="0"/>
        <strike val="0"/>
        <condense val="0"/>
        <extend val="0"/>
        <outline val="0"/>
        <shadow val="0"/>
        <u val="none"/>
        <vertAlign val="baseline"/>
        <sz val="10"/>
        <color theme="1"/>
        <name val="Calibri"/>
        <scheme val="minor"/>
      </font>
      <fill>
        <patternFill patternType="none">
          <fgColor indexed="64"/>
          <bgColor auto="1"/>
        </patternFill>
      </fill>
    </dxf>
    <dxf>
      <font>
        <b/>
        <i val="0"/>
        <strike val="0"/>
        <condense val="0"/>
        <extend val="0"/>
        <outline val="0"/>
        <shadow val="0"/>
        <u val="none"/>
        <vertAlign val="baseline"/>
        <sz val="10"/>
        <color theme="1"/>
        <name val="Calibri"/>
        <scheme val="minor"/>
      </font>
      <fill>
        <patternFill patternType="none">
          <fgColor indexed="64"/>
          <bgColor auto="1"/>
        </patternFill>
      </fill>
      <alignment horizontal="center" vertical="bottom" textRotation="0" wrapText="0" indent="0" justifyLastLine="0" shrinkToFit="0" readingOrder="0"/>
    </dxf>
  </dxfs>
  <tableStyles count="0" defaultTableStyle="TableStyleMedium9" defaultPivotStyle="PivotStyleLight16"/>
  <colors>
    <mruColors>
      <color rgb="FFB8D6E8"/>
      <color rgb="FFFFC000"/>
      <color rgb="FFFF99CC"/>
      <color rgb="FF0070C0"/>
      <color rgb="FF00B0F0"/>
      <color rgb="FF006600"/>
      <color rgb="FFBF9F7F"/>
      <color rgb="FFCC9900"/>
      <color rgb="FF663300"/>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63762490307895"/>
          <c:y val="8.3996218376258772E-2"/>
          <c:w val="0.88652122862739924"/>
          <c:h val="0.83175237057119222"/>
        </c:manualLayout>
      </c:layout>
      <c:lineChart>
        <c:grouping val="standard"/>
        <c:varyColors val="0"/>
        <c:ser>
          <c:idx val="0"/>
          <c:order val="0"/>
          <c:tx>
            <c:strRef>
              <c:f>'Publish To Web'!$A$16</c:f>
              <c:strCache>
                <c:ptCount val="1"/>
                <c:pt idx="0">
                  <c:v>Wind </c:v>
                </c:pt>
              </c:strCache>
            </c:strRef>
          </c:tx>
          <c:spPr>
            <a:ln w="28575" cap="rnd">
              <a:solidFill>
                <a:schemeClr val="accent1"/>
              </a:solidFill>
              <a:round/>
            </a:ln>
            <a:effectLst/>
          </c:spPr>
          <c:marker>
            <c:symbol val="none"/>
          </c:marker>
          <c:cat>
            <c:strRef>
              <c:f>'Publish To Web'!$B$5:$S$5</c:f>
              <c:strCach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strCache>
            </c:strRef>
          </c:cat>
          <c:val>
            <c:numRef>
              <c:f>'Publish To Web'!$B$16:$S$16</c:f>
              <c:numCache>
                <c:formatCode>_(* #,##0_);_(* \(#,##0\);_(* "-"??_);_(@_)</c:formatCode>
                <c:ptCount val="18"/>
                <c:pt idx="0">
                  <c:v>0</c:v>
                </c:pt>
                <c:pt idx="1">
                  <c:v>23822</c:v>
                </c:pt>
                <c:pt idx="2">
                  <c:v>163134.48000000001</c:v>
                </c:pt>
                <c:pt idx="3">
                  <c:v>320539.98700000002</c:v>
                </c:pt>
                <c:pt idx="4">
                  <c:v>346470</c:v>
                </c:pt>
                <c:pt idx="5">
                  <c:v>432667</c:v>
                </c:pt>
                <c:pt idx="6">
                  <c:v>867392</c:v>
                </c:pt>
                <c:pt idx="7">
                  <c:v>545622</c:v>
                </c:pt>
                <c:pt idx="8">
                  <c:v>1010928</c:v>
                </c:pt>
                <c:pt idx="9">
                  <c:v>587994</c:v>
                </c:pt>
                <c:pt idx="10">
                  <c:v>567280.99399999995</c:v>
                </c:pt>
                <c:pt idx="11">
                  <c:v>1017701.777</c:v>
                </c:pt>
                <c:pt idx="12">
                  <c:v>3011137.4070000001</c:v>
                </c:pt>
                <c:pt idx="13">
                  <c:v>2859414.9079999998</c:v>
                </c:pt>
                <c:pt idx="14">
                  <c:v>2219612.94</c:v>
                </c:pt>
                <c:pt idx="15">
                  <c:v>2029032</c:v>
                </c:pt>
                <c:pt idx="16">
                  <c:v>3661267</c:v>
                </c:pt>
                <c:pt idx="17">
                  <c:v>2674081</c:v>
                </c:pt>
              </c:numCache>
            </c:numRef>
          </c:val>
          <c:smooth val="0"/>
          <c:extLst>
            <c:ext xmlns:c16="http://schemas.microsoft.com/office/drawing/2014/chart" uri="{C3380CC4-5D6E-409C-BE32-E72D297353CC}">
              <c16:uniqueId val="{00000000-C571-4715-9BD7-22EE71B1DA82}"/>
            </c:ext>
          </c:extLst>
        </c:ser>
        <c:ser>
          <c:idx val="1"/>
          <c:order val="1"/>
          <c:tx>
            <c:v>Hydro</c:v>
          </c:tx>
          <c:spPr>
            <a:ln w="28575" cap="rnd">
              <a:solidFill>
                <a:schemeClr val="accent2"/>
              </a:solidFill>
              <a:round/>
            </a:ln>
            <a:effectLst/>
          </c:spPr>
          <c:marker>
            <c:symbol val="none"/>
          </c:marker>
          <c:cat>
            <c:strRef>
              <c:f>'Publish To Web'!$B$5:$S$5</c:f>
              <c:strCach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strCache>
            </c:strRef>
          </c:cat>
          <c:val>
            <c:numRef>
              <c:f>'Publish To Web'!$B$20:$S$20</c:f>
              <c:numCache>
                <c:formatCode>_(* #,##0_);_(* \(#,##0\);_(* "-"??_);_(@_)</c:formatCode>
                <c:ptCount val="18"/>
                <c:pt idx="0">
                  <c:v>67889833.989999995</c:v>
                </c:pt>
                <c:pt idx="1">
                  <c:v>45853455</c:v>
                </c:pt>
                <c:pt idx="2">
                  <c:v>56339641.008000001</c:v>
                </c:pt>
                <c:pt idx="3">
                  <c:v>53850477.776000001</c:v>
                </c:pt>
                <c:pt idx="4">
                  <c:v>54132176</c:v>
                </c:pt>
                <c:pt idx="5">
                  <c:v>55342273</c:v>
                </c:pt>
                <c:pt idx="6">
                  <c:v>59609529</c:v>
                </c:pt>
                <c:pt idx="7">
                  <c:v>59203647</c:v>
                </c:pt>
                <c:pt idx="8">
                  <c:v>58235550</c:v>
                </c:pt>
                <c:pt idx="9">
                  <c:v>57214771</c:v>
                </c:pt>
                <c:pt idx="10">
                  <c:v>53412120.715000004</c:v>
                </c:pt>
                <c:pt idx="11">
                  <c:v>66847396.575000003</c:v>
                </c:pt>
                <c:pt idx="12">
                  <c:v>62984536.362000003</c:v>
                </c:pt>
                <c:pt idx="13">
                  <c:v>58074493.126000002</c:v>
                </c:pt>
                <c:pt idx="14">
                  <c:v>59723804.568102188</c:v>
                </c:pt>
                <c:pt idx="15">
                  <c:v>55306859</c:v>
                </c:pt>
                <c:pt idx="16">
                  <c:v>55697796</c:v>
                </c:pt>
                <c:pt idx="17">
                  <c:v>63644891</c:v>
                </c:pt>
              </c:numCache>
            </c:numRef>
          </c:val>
          <c:smooth val="0"/>
          <c:extLst>
            <c:ext xmlns:c16="http://schemas.microsoft.com/office/drawing/2014/chart" uri="{C3380CC4-5D6E-409C-BE32-E72D297353CC}">
              <c16:uniqueId val="{00000000-CD61-4849-8C75-D5C2540BDB10}"/>
            </c:ext>
          </c:extLst>
        </c:ser>
        <c:ser>
          <c:idx val="2"/>
          <c:order val="2"/>
          <c:tx>
            <c:v>Coal</c:v>
          </c:tx>
          <c:spPr>
            <a:ln w="28575" cap="rnd">
              <a:solidFill>
                <a:schemeClr val="accent3"/>
              </a:solidFill>
              <a:round/>
            </a:ln>
            <a:effectLst/>
          </c:spPr>
          <c:marker>
            <c:symbol val="none"/>
          </c:marker>
          <c:cat>
            <c:strRef>
              <c:f>'Publish To Web'!$B$5:$S$5</c:f>
              <c:strCach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strCache>
            </c:strRef>
          </c:cat>
          <c:val>
            <c:numRef>
              <c:f>'Publish To Web'!$B$19:$S$19</c:f>
              <c:numCache>
                <c:formatCode>_(* #,##0_);_(* \(#,##0\);_(* "-"??_);_(@_)</c:formatCode>
                <c:ptCount val="18"/>
                <c:pt idx="0">
                  <c:v>16243438.27</c:v>
                </c:pt>
                <c:pt idx="1">
                  <c:v>13247976</c:v>
                </c:pt>
                <c:pt idx="2">
                  <c:v>10076411.603</c:v>
                </c:pt>
                <c:pt idx="3">
                  <c:v>14336264.477</c:v>
                </c:pt>
                <c:pt idx="4">
                  <c:v>14459001</c:v>
                </c:pt>
                <c:pt idx="5">
                  <c:v>14860017</c:v>
                </c:pt>
                <c:pt idx="6">
                  <c:v>14245188</c:v>
                </c:pt>
                <c:pt idx="7">
                  <c:v>14866637</c:v>
                </c:pt>
                <c:pt idx="8">
                  <c:v>15034912</c:v>
                </c:pt>
                <c:pt idx="9">
                  <c:v>14672973</c:v>
                </c:pt>
                <c:pt idx="10">
                  <c:v>15955167.881999999</c:v>
                </c:pt>
                <c:pt idx="11">
                  <c:v>12900636.259</c:v>
                </c:pt>
                <c:pt idx="12">
                  <c:v>12149258.443</c:v>
                </c:pt>
                <c:pt idx="13">
                  <c:v>13519851.679</c:v>
                </c:pt>
                <c:pt idx="14">
                  <c:v>14026539.562654842</c:v>
                </c:pt>
                <c:pt idx="15">
                  <c:v>14388993</c:v>
                </c:pt>
                <c:pt idx="16">
                  <c:v>12799782</c:v>
                </c:pt>
                <c:pt idx="17">
                  <c:v>12593438</c:v>
                </c:pt>
              </c:numCache>
            </c:numRef>
          </c:val>
          <c:smooth val="0"/>
          <c:extLst>
            <c:ext xmlns:c16="http://schemas.microsoft.com/office/drawing/2014/chart" uri="{C3380CC4-5D6E-409C-BE32-E72D297353CC}">
              <c16:uniqueId val="{00000001-CD61-4849-8C75-D5C2540BDB10}"/>
            </c:ext>
          </c:extLst>
        </c:ser>
        <c:ser>
          <c:idx val="3"/>
          <c:order val="3"/>
          <c:tx>
            <c:v>Natural gas</c:v>
          </c:tx>
          <c:spPr>
            <a:ln w="28575" cap="rnd">
              <a:solidFill>
                <a:schemeClr val="accent4"/>
              </a:solidFill>
              <a:round/>
            </a:ln>
            <a:effectLst/>
          </c:spPr>
          <c:marker>
            <c:symbol val="none"/>
          </c:marker>
          <c:cat>
            <c:strRef>
              <c:f>'Publish To Web'!$B$5:$S$5</c:f>
              <c:strCach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strCache>
            </c:strRef>
          </c:cat>
          <c:val>
            <c:numRef>
              <c:f>'Publish To Web'!$B$18:$S$18</c:f>
              <c:numCache>
                <c:formatCode>_(* #,##0_);_(* \(#,##0\);_(* "-"??_);_(@_)</c:formatCode>
                <c:ptCount val="18"/>
                <c:pt idx="0">
                  <c:v>5343539.3499999996</c:v>
                </c:pt>
                <c:pt idx="1">
                  <c:v>5908568</c:v>
                </c:pt>
                <c:pt idx="2">
                  <c:v>2634327.7779999999</c:v>
                </c:pt>
                <c:pt idx="3">
                  <c:v>4370727.642</c:v>
                </c:pt>
                <c:pt idx="4">
                  <c:v>4662035.2149999999</c:v>
                </c:pt>
                <c:pt idx="5">
                  <c:v>5325475</c:v>
                </c:pt>
                <c:pt idx="6">
                  <c:v>4553446.5609999998</c:v>
                </c:pt>
                <c:pt idx="7">
                  <c:v>6302442.1100000003</c:v>
                </c:pt>
                <c:pt idx="8">
                  <c:v>7385757.4419999998</c:v>
                </c:pt>
                <c:pt idx="9">
                  <c:v>9979345.0020000003</c:v>
                </c:pt>
                <c:pt idx="10">
                  <c:v>10476257.187000001</c:v>
                </c:pt>
                <c:pt idx="11">
                  <c:v>5684222.966</c:v>
                </c:pt>
                <c:pt idx="12">
                  <c:v>6954310.3679999998</c:v>
                </c:pt>
                <c:pt idx="13">
                  <c:v>10824984.355999999</c:v>
                </c:pt>
                <c:pt idx="14">
                  <c:v>9522410.8747281469</c:v>
                </c:pt>
                <c:pt idx="15">
                  <c:v>11814453.384</c:v>
                </c:pt>
                <c:pt idx="16">
                  <c:v>9943729.3839999996</c:v>
                </c:pt>
                <c:pt idx="17">
                  <c:v>10188498.384</c:v>
                </c:pt>
              </c:numCache>
            </c:numRef>
          </c:val>
          <c:smooth val="0"/>
          <c:extLst>
            <c:ext xmlns:c16="http://schemas.microsoft.com/office/drawing/2014/chart" uri="{C3380CC4-5D6E-409C-BE32-E72D297353CC}">
              <c16:uniqueId val="{00000002-CD61-4849-8C75-D5C2540BDB10}"/>
            </c:ext>
          </c:extLst>
        </c:ser>
        <c:ser>
          <c:idx val="4"/>
          <c:order val="4"/>
          <c:tx>
            <c:v>Nuclear</c:v>
          </c:tx>
          <c:spPr>
            <a:ln w="28575" cap="rnd">
              <a:solidFill>
                <a:schemeClr val="accent5"/>
              </a:solidFill>
              <a:round/>
            </a:ln>
            <a:effectLst/>
          </c:spPr>
          <c:marker>
            <c:symbol val="none"/>
          </c:marker>
          <c:cat>
            <c:strRef>
              <c:f>'Publish To Web'!$B$5:$S$5</c:f>
              <c:strCach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strCache>
            </c:strRef>
          </c:cat>
          <c:val>
            <c:numRef>
              <c:f>'Publish To Web'!$B$17:$S$17</c:f>
              <c:numCache>
                <c:formatCode>_(* #,##0_);_(* \(#,##0\);_(* "-"??_);_(@_)</c:formatCode>
                <c:ptCount val="18"/>
                <c:pt idx="0">
                  <c:v>4285939.1500000004</c:v>
                </c:pt>
                <c:pt idx="1">
                  <c:v>3975371</c:v>
                </c:pt>
                <c:pt idx="2">
                  <c:v>3858715.5279999999</c:v>
                </c:pt>
                <c:pt idx="3">
                  <c:v>3726175.2439999999</c:v>
                </c:pt>
                <c:pt idx="4">
                  <c:v>4591072</c:v>
                </c:pt>
                <c:pt idx="5">
                  <c:v>4403537</c:v>
                </c:pt>
                <c:pt idx="6">
                  <c:v>4513216</c:v>
                </c:pt>
                <c:pt idx="7">
                  <c:v>4326265</c:v>
                </c:pt>
                <c:pt idx="8">
                  <c:v>5083665</c:v>
                </c:pt>
                <c:pt idx="9">
                  <c:v>3653541</c:v>
                </c:pt>
                <c:pt idx="10">
                  <c:v>5430617.4440000001</c:v>
                </c:pt>
                <c:pt idx="11">
                  <c:v>2390244.5189999999</c:v>
                </c:pt>
                <c:pt idx="12">
                  <c:v>4239397.852</c:v>
                </c:pt>
                <c:pt idx="13">
                  <c:v>4247504.0990000004</c:v>
                </c:pt>
                <c:pt idx="14">
                  <c:v>4617390.9954746496</c:v>
                </c:pt>
                <c:pt idx="15">
                  <c:v>4021955</c:v>
                </c:pt>
                <c:pt idx="16">
                  <c:v>4308647</c:v>
                </c:pt>
                <c:pt idx="17">
                  <c:v>3941745</c:v>
                </c:pt>
              </c:numCache>
            </c:numRef>
          </c:val>
          <c:smooth val="0"/>
          <c:extLst>
            <c:ext xmlns:c16="http://schemas.microsoft.com/office/drawing/2014/chart" uri="{C3380CC4-5D6E-409C-BE32-E72D297353CC}">
              <c16:uniqueId val="{00000003-CD61-4849-8C75-D5C2540BDB10}"/>
            </c:ext>
          </c:extLst>
        </c:ser>
        <c:dLbls>
          <c:showLegendKey val="0"/>
          <c:showVal val="0"/>
          <c:showCatName val="0"/>
          <c:showSerName val="0"/>
          <c:showPercent val="0"/>
          <c:showBubbleSize val="0"/>
        </c:dLbls>
        <c:smooth val="0"/>
        <c:axId val="2049174015"/>
        <c:axId val="2049175263"/>
      </c:lineChart>
      <c:catAx>
        <c:axId val="20491740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49175263"/>
        <c:crosses val="autoZero"/>
        <c:auto val="1"/>
        <c:lblAlgn val="ctr"/>
        <c:lblOffset val="100"/>
        <c:noMultiLvlLbl val="0"/>
      </c:catAx>
      <c:valAx>
        <c:axId val="2049175263"/>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49174015"/>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341226842786766E-2"/>
          <c:y val="1.1514791434583489E-2"/>
          <c:w val="0.89492490472403241"/>
          <c:h val="0.92374056195073651"/>
        </c:manualLayout>
      </c:layout>
      <c:areaChart>
        <c:grouping val="stacked"/>
        <c:varyColors val="0"/>
        <c:ser>
          <c:idx val="0"/>
          <c:order val="0"/>
          <c:spPr>
            <a:solidFill>
              <a:schemeClr val="accent1"/>
            </a:solidFill>
          </c:spPr>
          <c:dLbls>
            <c:spPr>
              <a:noFill/>
              <a:ln>
                <a:noFill/>
              </a:ln>
              <a:effectLst/>
            </c:spPr>
            <c:txPr>
              <a:bodyPr/>
              <a:lstStyle/>
              <a:p>
                <a:pPr>
                  <a:defRPr sz="1600" b="1"/>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'State Agg Fuel Mix 2000-2014'!#REF!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'State Agg Fuel Mix 2000-2014'!#REF!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'State Agg Fuel Mix 2000-2014'!#REF!</c15:sqref>
                        </c15:formulaRef>
                      </c:ext>
                    </c:extLst>
                  </c:multiLvlStrRef>
                </c15:cat>
              </c15:filteredCategoryTitle>
            </c:ext>
            <c:ext xmlns:c16="http://schemas.microsoft.com/office/drawing/2014/chart" uri="{C3380CC4-5D6E-409C-BE32-E72D297353CC}">
              <c16:uniqueId val="{00000000-317B-44B5-912D-A7D780748115}"/>
            </c:ext>
          </c:extLst>
        </c:ser>
        <c:ser>
          <c:idx val="1"/>
          <c:order val="1"/>
          <c:spPr>
            <a:solidFill>
              <a:schemeClr val="accent2"/>
            </a:solidFill>
          </c:spPr>
          <c:dLbls>
            <c:spPr>
              <a:noFill/>
              <a:ln>
                <a:noFill/>
              </a:ln>
              <a:effectLst/>
            </c:spPr>
            <c:txPr>
              <a:bodyPr/>
              <a:lstStyle/>
              <a:p>
                <a:pPr>
                  <a:defRPr sz="1600" b="1"/>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'State Agg Fuel Mix 2000-2014'!#REF!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'State Agg Fuel Mix 2000-2014'!#REF!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'State Agg Fuel Mix 2000-2014'!#REF!</c15:sqref>
                        </c15:formulaRef>
                      </c:ext>
                    </c:extLst>
                  </c:multiLvlStrRef>
                </c15:cat>
              </c15:filteredCategoryTitle>
            </c:ext>
            <c:ext xmlns:c16="http://schemas.microsoft.com/office/drawing/2014/chart" uri="{C3380CC4-5D6E-409C-BE32-E72D297353CC}">
              <c16:uniqueId val="{00000001-317B-44B5-912D-A7D780748115}"/>
            </c:ext>
          </c:extLst>
        </c:ser>
        <c:ser>
          <c:idx val="2"/>
          <c:order val="2"/>
          <c:spPr>
            <a:solidFill>
              <a:schemeClr val="accent3"/>
            </a:solidFill>
          </c:spPr>
          <c:dLbls>
            <c:spPr>
              <a:noFill/>
              <a:ln>
                <a:noFill/>
              </a:ln>
              <a:effectLst/>
            </c:spPr>
            <c:txPr>
              <a:bodyPr/>
              <a:lstStyle/>
              <a:p>
                <a:pPr>
                  <a:defRPr sz="1600" b="1"/>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'State Agg Fuel Mix 2000-2014'!#REF!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'State Agg Fuel Mix 2000-2014'!#REF!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'State Agg Fuel Mix 2000-2014'!#REF!</c15:sqref>
                        </c15:formulaRef>
                      </c:ext>
                    </c:extLst>
                  </c:multiLvlStrRef>
                </c15:cat>
              </c15:filteredCategoryTitle>
            </c:ext>
            <c:ext xmlns:c16="http://schemas.microsoft.com/office/drawing/2014/chart" uri="{C3380CC4-5D6E-409C-BE32-E72D297353CC}">
              <c16:uniqueId val="{00000002-317B-44B5-912D-A7D780748115}"/>
            </c:ext>
          </c:extLst>
        </c:ser>
        <c:ser>
          <c:idx val="3"/>
          <c:order val="3"/>
          <c:spPr>
            <a:solidFill>
              <a:schemeClr val="accent4"/>
            </a:solidFill>
          </c:spPr>
          <c:dLbls>
            <c:spPr>
              <a:noFill/>
              <a:ln>
                <a:noFill/>
              </a:ln>
              <a:effectLst/>
            </c:spPr>
            <c:txPr>
              <a:bodyPr/>
              <a:lstStyle/>
              <a:p>
                <a:pPr>
                  <a:defRPr sz="1600" b="1"/>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'State Agg Fuel Mix 2000-2014'!#REF!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'State Agg Fuel Mix 2000-2014'!#REF!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'State Agg Fuel Mix 2000-2014'!#REF!</c15:sqref>
                        </c15:formulaRef>
                      </c:ext>
                    </c:extLst>
                  </c:multiLvlStrRef>
                </c15:cat>
              </c15:filteredCategoryTitle>
            </c:ext>
            <c:ext xmlns:c16="http://schemas.microsoft.com/office/drawing/2014/chart" uri="{C3380CC4-5D6E-409C-BE32-E72D297353CC}">
              <c16:uniqueId val="{00000003-317B-44B5-912D-A7D780748115}"/>
            </c:ext>
          </c:extLst>
        </c:ser>
        <c:ser>
          <c:idx val="4"/>
          <c:order val="4"/>
          <c:spPr>
            <a:solidFill>
              <a:schemeClr val="accent6">
                <a:lumMod val="60000"/>
                <a:lumOff val="40000"/>
              </a:schemeClr>
            </a:solidFill>
          </c:spPr>
          <c:dLbls>
            <c:delete val="1"/>
          </c:dLbls>
          <c:val>
            <c:numRef>
              <c:f>'State Agg Fuel Mix 2000-2014'!#REF!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'State Agg Fuel Mix 2000-2014'!#REF!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'State Agg Fuel Mix 2000-2014'!#REF!</c15:sqref>
                        </c15:formulaRef>
                      </c:ext>
                    </c:extLst>
                  </c:multiLvlStrRef>
                </c15:cat>
              </c15:filteredCategoryTitle>
            </c:ext>
            <c:ext xmlns:c16="http://schemas.microsoft.com/office/drawing/2014/chart" uri="{C3380CC4-5D6E-409C-BE32-E72D297353CC}">
              <c16:uniqueId val="{00000004-317B-44B5-912D-A7D780748115}"/>
            </c:ext>
          </c:extLst>
        </c:ser>
        <c:ser>
          <c:idx val="5"/>
          <c:order val="5"/>
          <c:spPr>
            <a:solidFill>
              <a:schemeClr val="accent5">
                <a:lumMod val="40000"/>
                <a:lumOff val="60000"/>
              </a:schemeClr>
            </a:solidFill>
          </c:spPr>
          <c:dLbls>
            <c:delete val="1"/>
          </c:dLbls>
          <c:val>
            <c:numRef>
              <c:f>'State Agg Fuel Mix 2000-2014'!#REF!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'State Agg Fuel Mix 2000-2014'!#REF!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'State Agg Fuel Mix 2000-2014'!#REF!</c15:sqref>
                        </c15:formulaRef>
                      </c:ext>
                    </c:extLst>
                  </c:multiLvlStrRef>
                </c15:cat>
              </c15:filteredCategoryTitle>
            </c:ext>
            <c:ext xmlns:c16="http://schemas.microsoft.com/office/drawing/2014/chart" uri="{C3380CC4-5D6E-409C-BE32-E72D297353CC}">
              <c16:uniqueId val="{00000005-317B-44B5-912D-A7D780748115}"/>
            </c:ext>
          </c:extLst>
        </c:ser>
        <c:ser>
          <c:idx val="6"/>
          <c:order val="6"/>
          <c:spPr>
            <a:solidFill>
              <a:srgbClr val="FFFF00"/>
            </a:solidFill>
          </c:spPr>
          <c:dLbls>
            <c:delete val="1"/>
          </c:dLbls>
          <c:val>
            <c:numRef>
              <c:f>'State Agg Fuel Mix 2000-2014'!#REF!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'State Agg Fuel Mix 2000-2014'!#REF!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'State Agg Fuel Mix 2000-2014'!#REF!</c15:sqref>
                        </c15:formulaRef>
                      </c:ext>
                    </c:extLst>
                  </c:multiLvlStrRef>
                </c15:cat>
              </c15:filteredCategoryTitle>
            </c:ext>
            <c:ext xmlns:c16="http://schemas.microsoft.com/office/drawing/2014/chart" uri="{C3380CC4-5D6E-409C-BE32-E72D297353CC}">
              <c16:uniqueId val="{00000006-317B-44B5-912D-A7D780748115}"/>
            </c:ext>
          </c:extLst>
        </c:ser>
        <c:ser>
          <c:idx val="7"/>
          <c:order val="7"/>
          <c:spPr>
            <a:solidFill>
              <a:schemeClr val="bg1">
                <a:lumMod val="75000"/>
              </a:schemeClr>
            </a:solidFill>
          </c:spPr>
          <c:dLbls>
            <c:delete val="1"/>
          </c:dLbls>
          <c:val>
            <c:numRef>
              <c:f>'State Agg Fuel Mix 2000-2014'!#REF!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'State Agg Fuel Mix 2000-2014'!#REF!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'State Agg Fuel Mix 2000-2014'!#REF!</c15:sqref>
                        </c15:formulaRef>
                      </c:ext>
                    </c:extLst>
                  </c:multiLvlStrRef>
                </c15:cat>
              </c15:filteredCategoryTitle>
            </c:ext>
            <c:ext xmlns:c16="http://schemas.microsoft.com/office/drawing/2014/chart" uri="{C3380CC4-5D6E-409C-BE32-E72D297353CC}">
              <c16:uniqueId val="{00000007-317B-44B5-912D-A7D780748115}"/>
            </c:ext>
          </c:extLst>
        </c:ser>
        <c:dLbls>
          <c:showLegendKey val="0"/>
          <c:showVal val="1"/>
          <c:showCatName val="0"/>
          <c:showSerName val="0"/>
          <c:showPercent val="0"/>
          <c:showBubbleSize val="0"/>
        </c:dLbls>
        <c:dropLines/>
        <c:axId val="50686208"/>
        <c:axId val="50696192"/>
      </c:areaChart>
      <c:catAx>
        <c:axId val="50686208"/>
        <c:scaling>
          <c:orientation val="minMax"/>
        </c:scaling>
        <c:delete val="0"/>
        <c:axPos val="b"/>
        <c:majorTickMark val="none"/>
        <c:minorTickMark val="none"/>
        <c:tickLblPos val="nextTo"/>
        <c:txPr>
          <a:bodyPr/>
          <a:lstStyle/>
          <a:p>
            <a:pPr>
              <a:defRPr sz="1600"/>
            </a:pPr>
            <a:endParaRPr lang="en-US"/>
          </a:p>
        </c:txPr>
        <c:crossAx val="50696192"/>
        <c:crosses val="autoZero"/>
        <c:auto val="1"/>
        <c:lblAlgn val="ctr"/>
        <c:lblOffset val="100"/>
        <c:noMultiLvlLbl val="0"/>
      </c:catAx>
      <c:valAx>
        <c:axId val="50696192"/>
        <c:scaling>
          <c:orientation val="minMax"/>
        </c:scaling>
        <c:delete val="0"/>
        <c:axPos val="l"/>
        <c:title>
          <c:tx>
            <c:rich>
              <a:bodyPr rot="-5400000" vert="horz"/>
              <a:lstStyle/>
              <a:p>
                <a:pPr>
                  <a:defRPr/>
                </a:pPr>
                <a:r>
                  <a:rPr lang="en-US" sz="1600"/>
                  <a:t>Megawatt</a:t>
                </a:r>
                <a:r>
                  <a:rPr lang="en-US" sz="1600" baseline="0"/>
                  <a:t> hours</a:t>
                </a:r>
                <a:endParaRPr lang="en-US"/>
              </a:p>
            </c:rich>
          </c:tx>
          <c:overlay val="0"/>
        </c:title>
        <c:numFmt formatCode="General" sourceLinked="1"/>
        <c:majorTickMark val="none"/>
        <c:minorTickMark val="none"/>
        <c:tickLblPos val="nextTo"/>
        <c:txPr>
          <a:bodyPr/>
          <a:lstStyle/>
          <a:p>
            <a:pPr>
              <a:defRPr sz="1200"/>
            </a:pPr>
            <a:endParaRPr lang="en-US"/>
          </a:p>
        </c:txPr>
        <c:crossAx val="50686208"/>
        <c:crosses val="autoZero"/>
        <c:crossBetween val="midCat"/>
      </c:valAx>
    </c:plotArea>
    <c:plotVisOnly val="1"/>
    <c:dispBlanksAs val="zero"/>
    <c:showDLblsOverMax val="0"/>
  </c:chart>
  <c:spPr>
    <a:ln>
      <a:noFill/>
    </a:ln>
  </c:spPr>
  <c:printSettings>
    <c:headerFooter/>
    <c:pageMargins b="0.75000000000000056" l="0.70000000000000051" r="0.70000000000000051" t="0.75000000000000056" header="0.30000000000000027" footer="0.30000000000000027"/>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cked"/>
        <c:varyColors val="0"/>
        <c:ser>
          <c:idx val="0"/>
          <c:order val="0"/>
          <c:spPr>
            <a:solidFill>
              <a:srgbClr val="BF9F7F"/>
            </a:solidFill>
            <a:ln w="38100"/>
          </c:spPr>
          <c:dLbls>
            <c:dLbl>
              <c:idx val="0"/>
              <c:layout>
                <c:manualLayout>
                  <c:x val="-4.4341114919957389E-2"/>
                  <c:y val="-2.8351625406188418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29FC-48F5-8471-D38C7747B7C1}"/>
                </c:ext>
              </c:extLst>
            </c:dLbl>
            <c:spPr>
              <a:noFill/>
              <a:ln>
                <a:noFill/>
              </a:ln>
              <a:effectLst/>
            </c:spPr>
            <c:txPr>
              <a:bodyPr/>
              <a:lstStyle/>
              <a:p>
                <a:pPr>
                  <a:defRPr sz="1600" b="1"/>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'State Agg Fuel Mix 2000-2014'!#REF!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'State Agg Fuel Mix 2000-2014'!#REF!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'State Agg Fuel Mix 2000-2014'!#REF!</c15:sqref>
                        </c15:formulaRef>
                      </c:ext>
                    </c:extLst>
                  </c:multiLvlStrRef>
                </c15:cat>
              </c15:filteredCategoryTitle>
            </c:ext>
            <c:ext xmlns:c16="http://schemas.microsoft.com/office/drawing/2014/chart" uri="{C3380CC4-5D6E-409C-BE32-E72D297353CC}">
              <c16:uniqueId val="{00000001-29FC-48F5-8471-D38C7747B7C1}"/>
            </c:ext>
          </c:extLst>
        </c:ser>
        <c:ser>
          <c:idx val="1"/>
          <c:order val="1"/>
          <c:spPr>
            <a:solidFill>
              <a:srgbClr val="FF99CC"/>
            </a:solidFill>
            <a:ln w="38100"/>
          </c:spPr>
          <c:dLbls>
            <c:dLbl>
              <c:idx val="0"/>
              <c:layout>
                <c:manualLayout>
                  <c:x val="0.20927442072157157"/>
                  <c:y val="-2.835155571906689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29FC-48F5-8471-D38C7747B7C1}"/>
                </c:ext>
              </c:extLst>
            </c:dLbl>
            <c:spPr>
              <a:noFill/>
              <a:ln>
                <a:noFill/>
              </a:ln>
              <a:effectLst/>
            </c:spPr>
            <c:txPr>
              <a:bodyPr/>
              <a:lstStyle/>
              <a:p>
                <a:pPr>
                  <a:defRPr sz="1600" b="1"/>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'State Agg Fuel Mix 2000-2014'!#REF!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'State Agg Fuel Mix 2000-2014'!#REF!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'State Agg Fuel Mix 2000-2014'!#REF!</c15:sqref>
                        </c15:formulaRef>
                      </c:ext>
                    </c:extLst>
                  </c:multiLvlStrRef>
                </c15:cat>
              </c15:filteredCategoryTitle>
            </c:ext>
            <c:ext xmlns:c16="http://schemas.microsoft.com/office/drawing/2014/chart" uri="{C3380CC4-5D6E-409C-BE32-E72D297353CC}">
              <c16:uniqueId val="{00000003-29FC-48F5-8471-D38C7747B7C1}"/>
            </c:ext>
          </c:extLst>
        </c:ser>
        <c:ser>
          <c:idx val="2"/>
          <c:order val="2"/>
          <c:spPr>
            <a:solidFill>
              <a:schemeClr val="tx2">
                <a:lumMod val="20000"/>
                <a:lumOff val="80000"/>
              </a:schemeClr>
            </a:solidFill>
            <a:ln w="38100"/>
          </c:spPr>
          <c:dLbls>
            <c:dLbl>
              <c:idx val="0"/>
              <c:layout>
                <c:manualLayout>
                  <c:x val="0.36508457337558836"/>
                  <c:y val="-2.2681244575253511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29FC-48F5-8471-D38C7747B7C1}"/>
                </c:ext>
              </c:extLst>
            </c:dLbl>
            <c:spPr>
              <a:noFill/>
              <a:ln>
                <a:noFill/>
              </a:ln>
              <a:effectLst/>
            </c:spPr>
            <c:txPr>
              <a:bodyPr/>
              <a:lstStyle/>
              <a:p>
                <a:pPr>
                  <a:defRPr sz="1600" b="1"/>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'State Agg Fuel Mix 2000-2014'!#REF!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'State Agg Fuel Mix 2000-2014'!#REF!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'State Agg Fuel Mix 2000-2014'!#REF!</c15:sqref>
                        </c15:formulaRef>
                      </c:ext>
                    </c:extLst>
                  </c:multiLvlStrRef>
                </c15:cat>
              </c15:filteredCategoryTitle>
            </c:ext>
            <c:ext xmlns:c16="http://schemas.microsoft.com/office/drawing/2014/chart" uri="{C3380CC4-5D6E-409C-BE32-E72D297353CC}">
              <c16:uniqueId val="{00000005-29FC-48F5-8471-D38C7747B7C1}"/>
            </c:ext>
          </c:extLst>
        </c:ser>
        <c:ser>
          <c:idx val="3"/>
          <c:order val="3"/>
          <c:spPr>
            <a:solidFill>
              <a:schemeClr val="accent3">
                <a:lumMod val="50000"/>
              </a:schemeClr>
            </a:solidFill>
            <a:ln w="38100"/>
          </c:spPr>
          <c:dLbls>
            <c:dLbl>
              <c:idx val="0"/>
              <c:layout>
                <c:manualLayout>
                  <c:x val="-0.35422267320957218"/>
                  <c:y val="-0.11006913926387235"/>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29FC-48F5-8471-D38C7747B7C1}"/>
                </c:ext>
              </c:extLst>
            </c:dLbl>
            <c:spPr>
              <a:noFill/>
              <a:ln>
                <a:noFill/>
              </a:ln>
              <a:effectLst/>
            </c:spPr>
            <c:txPr>
              <a:bodyPr/>
              <a:lstStyle/>
              <a:p>
                <a:pPr>
                  <a:defRPr sz="1600" b="1"/>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'State Agg Fuel Mix 2000-2014'!#REF!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'State Agg Fuel Mix 2000-2014'!#REF!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'State Agg Fuel Mix 2000-2014'!#REF!</c15:sqref>
                        </c15:formulaRef>
                      </c:ext>
                    </c:extLst>
                  </c:multiLvlStrRef>
                </c15:cat>
              </c15:filteredCategoryTitle>
            </c:ext>
            <c:ext xmlns:c16="http://schemas.microsoft.com/office/drawing/2014/chart" uri="{C3380CC4-5D6E-409C-BE32-E72D297353CC}">
              <c16:uniqueId val="{00000007-29FC-48F5-8471-D38C7747B7C1}"/>
            </c:ext>
          </c:extLst>
        </c:ser>
        <c:dLbls>
          <c:showLegendKey val="0"/>
          <c:showVal val="1"/>
          <c:showCatName val="0"/>
          <c:showSerName val="0"/>
          <c:showPercent val="0"/>
          <c:showBubbleSize val="0"/>
        </c:dLbls>
        <c:dropLines/>
        <c:axId val="50716672"/>
        <c:axId val="50718208"/>
      </c:areaChart>
      <c:catAx>
        <c:axId val="50716672"/>
        <c:scaling>
          <c:orientation val="minMax"/>
        </c:scaling>
        <c:delete val="0"/>
        <c:axPos val="b"/>
        <c:majorTickMark val="out"/>
        <c:minorTickMark val="none"/>
        <c:tickLblPos val="nextTo"/>
        <c:txPr>
          <a:bodyPr/>
          <a:lstStyle/>
          <a:p>
            <a:pPr>
              <a:defRPr sz="1200"/>
            </a:pPr>
            <a:endParaRPr lang="en-US"/>
          </a:p>
        </c:txPr>
        <c:crossAx val="50718208"/>
        <c:crosses val="autoZero"/>
        <c:auto val="1"/>
        <c:lblAlgn val="ctr"/>
        <c:lblOffset val="100"/>
        <c:noMultiLvlLbl val="0"/>
      </c:catAx>
      <c:valAx>
        <c:axId val="50718208"/>
        <c:scaling>
          <c:orientation val="minMax"/>
        </c:scaling>
        <c:delete val="0"/>
        <c:axPos val="l"/>
        <c:title>
          <c:tx>
            <c:rich>
              <a:bodyPr/>
              <a:lstStyle/>
              <a:p>
                <a:pPr>
                  <a:defRPr sz="1600"/>
                </a:pPr>
                <a:r>
                  <a:rPr lang="en-US" sz="1600"/>
                  <a:t>Megawatt hours</a:t>
                </a:r>
              </a:p>
            </c:rich>
          </c:tx>
          <c:overlay val="0"/>
        </c:title>
        <c:numFmt formatCode="General" sourceLinked="1"/>
        <c:majorTickMark val="out"/>
        <c:minorTickMark val="none"/>
        <c:tickLblPos val="nextTo"/>
        <c:crossAx val="50716672"/>
        <c:crosses val="autoZero"/>
        <c:crossBetween val="midCat"/>
      </c:valAx>
      <c:spPr>
        <a:noFill/>
      </c:spPr>
    </c:plotArea>
    <c:plotVisOnly val="1"/>
    <c:dispBlanksAs val="zero"/>
    <c:showDLblsOverMax val="0"/>
  </c:chart>
  <c:spPr>
    <a:noFill/>
    <a:ln>
      <a:noFill/>
    </a:ln>
  </c:spPr>
  <c:printSettings>
    <c:headerFooter/>
    <c:pageMargins b="0.75000000000000056" l="0.70000000000000051" r="0.70000000000000051" t="0.75000000000000056" header="0.30000000000000027" footer="0.30000000000000027"/>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1"/>
          <c:order val="0"/>
          <c:tx>
            <c:strRef>
              <c:f>'State Agg Fuel Mix 2000-2017'!$A$28</c:f>
              <c:strCache>
                <c:ptCount val="1"/>
                <c:pt idx="0">
                  <c:v>Hydropower</c:v>
                </c:pt>
              </c:strCache>
            </c:strRef>
          </c:tx>
          <c:spPr>
            <a:solidFill>
              <a:schemeClr val="tx1">
                <a:lumMod val="50000"/>
                <a:lumOff val="50000"/>
              </a:schemeClr>
            </a:solidFill>
            <a:ln>
              <a:noFill/>
            </a:ln>
          </c:spPr>
          <c:invertIfNegative val="0"/>
          <c:cat>
            <c:strRef>
              <c:f>'State Agg Fuel Mix 2000-2017'!$C$5:$S$5</c:f>
              <c:strCache>
                <c:ptCount val="1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strCache>
            </c:strRef>
          </c:cat>
          <c:val>
            <c:numRef>
              <c:f>'State Agg Fuel Mix 2000-2017'!$C$28:$S$28</c:f>
              <c:numCache>
                <c:formatCode>_(* #,##0_);_(* \(#,##0\);_(* "-"??_);_(@_)</c:formatCode>
                <c:ptCount val="17"/>
                <c:pt idx="0">
                  <c:v>45853455</c:v>
                </c:pt>
                <c:pt idx="1">
                  <c:v>56339641.008000001</c:v>
                </c:pt>
                <c:pt idx="2">
                  <c:v>53850477.776000001</c:v>
                </c:pt>
                <c:pt idx="3">
                  <c:v>54132176</c:v>
                </c:pt>
                <c:pt idx="4">
                  <c:v>55342273</c:v>
                </c:pt>
                <c:pt idx="5">
                  <c:v>59609529</c:v>
                </c:pt>
                <c:pt idx="6">
                  <c:v>59203647</c:v>
                </c:pt>
                <c:pt idx="7">
                  <c:v>58235550</c:v>
                </c:pt>
                <c:pt idx="8">
                  <c:v>57214771</c:v>
                </c:pt>
                <c:pt idx="9">
                  <c:v>53412120.715000004</c:v>
                </c:pt>
                <c:pt idx="10">
                  <c:v>66847396.575000003</c:v>
                </c:pt>
                <c:pt idx="11">
                  <c:v>62984536.362000003</c:v>
                </c:pt>
                <c:pt idx="12">
                  <c:v>58074493.126000002</c:v>
                </c:pt>
                <c:pt idx="13">
                  <c:v>59723804.568102188</c:v>
                </c:pt>
                <c:pt idx="14">
                  <c:v>55306859</c:v>
                </c:pt>
                <c:pt idx="15">
                  <c:v>55697796</c:v>
                </c:pt>
                <c:pt idx="16">
                  <c:v>63644891</c:v>
                </c:pt>
              </c:numCache>
            </c:numRef>
          </c:val>
          <c:extLst>
            <c:ext xmlns:c16="http://schemas.microsoft.com/office/drawing/2014/chart" uri="{C3380CC4-5D6E-409C-BE32-E72D297353CC}">
              <c16:uniqueId val="{00000001-4CF9-4082-8C79-88E63C394D96}"/>
            </c:ext>
          </c:extLst>
        </c:ser>
        <c:ser>
          <c:idx val="3"/>
          <c:order val="1"/>
          <c:tx>
            <c:strRef>
              <c:f>'State Agg Fuel Mix 2000-2017'!$A$29</c:f>
              <c:strCache>
                <c:ptCount val="1"/>
                <c:pt idx="0">
                  <c:v>Coal </c:v>
                </c:pt>
              </c:strCache>
            </c:strRef>
          </c:tx>
          <c:spPr>
            <a:solidFill>
              <a:srgbClr val="0070C0"/>
            </a:solidFill>
            <a:ln>
              <a:noFill/>
            </a:ln>
          </c:spPr>
          <c:invertIfNegative val="0"/>
          <c:cat>
            <c:strRef>
              <c:f>'State Agg Fuel Mix 2000-2017'!$C$5:$S$5</c:f>
              <c:strCache>
                <c:ptCount val="1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strCache>
            </c:strRef>
          </c:cat>
          <c:val>
            <c:numRef>
              <c:f>'State Agg Fuel Mix 2000-2017'!$C$29:$S$29</c:f>
              <c:numCache>
                <c:formatCode>_(* #,##0_);_(* \(#,##0\);_(* "-"??_);_(@_)</c:formatCode>
                <c:ptCount val="17"/>
                <c:pt idx="0">
                  <c:v>13247976</c:v>
                </c:pt>
                <c:pt idx="1">
                  <c:v>10076411.603</c:v>
                </c:pt>
                <c:pt idx="2">
                  <c:v>14336264.477</c:v>
                </c:pt>
                <c:pt idx="3">
                  <c:v>14459001</c:v>
                </c:pt>
                <c:pt idx="4">
                  <c:v>14860017</c:v>
                </c:pt>
                <c:pt idx="5">
                  <c:v>14245188</c:v>
                </c:pt>
                <c:pt idx="6">
                  <c:v>14866637</c:v>
                </c:pt>
                <c:pt idx="7">
                  <c:v>15034912</c:v>
                </c:pt>
                <c:pt idx="8">
                  <c:v>14672973</c:v>
                </c:pt>
                <c:pt idx="9">
                  <c:v>15955167.881999999</c:v>
                </c:pt>
                <c:pt idx="10">
                  <c:v>12900636.259</c:v>
                </c:pt>
                <c:pt idx="11">
                  <c:v>12149258.443</c:v>
                </c:pt>
                <c:pt idx="12">
                  <c:v>13519851.679</c:v>
                </c:pt>
                <c:pt idx="13">
                  <c:v>14026539.562654842</c:v>
                </c:pt>
                <c:pt idx="14">
                  <c:v>14388993</c:v>
                </c:pt>
                <c:pt idx="15">
                  <c:v>12799782</c:v>
                </c:pt>
                <c:pt idx="16">
                  <c:v>12593438</c:v>
                </c:pt>
              </c:numCache>
            </c:numRef>
          </c:val>
          <c:extLst>
            <c:ext xmlns:c16="http://schemas.microsoft.com/office/drawing/2014/chart" uri="{C3380CC4-5D6E-409C-BE32-E72D297353CC}">
              <c16:uniqueId val="{00000002-4CF9-4082-8C79-88E63C394D96}"/>
            </c:ext>
          </c:extLst>
        </c:ser>
        <c:ser>
          <c:idx val="4"/>
          <c:order val="2"/>
          <c:tx>
            <c:strRef>
              <c:f>'State Agg Fuel Mix 2000-2017'!$A$30</c:f>
              <c:strCache>
                <c:ptCount val="1"/>
                <c:pt idx="0">
                  <c:v>Natural Gas and Cogeneration</c:v>
                </c:pt>
              </c:strCache>
            </c:strRef>
          </c:tx>
          <c:spPr>
            <a:solidFill>
              <a:schemeClr val="accent6">
                <a:lumMod val="75000"/>
              </a:schemeClr>
            </a:solidFill>
            <a:ln>
              <a:noFill/>
            </a:ln>
          </c:spPr>
          <c:invertIfNegative val="0"/>
          <c:cat>
            <c:strRef>
              <c:f>'State Agg Fuel Mix 2000-2017'!$C$5:$S$5</c:f>
              <c:strCache>
                <c:ptCount val="1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strCache>
            </c:strRef>
          </c:cat>
          <c:val>
            <c:numRef>
              <c:f>'State Agg Fuel Mix 2000-2017'!$C$30:$S$30</c:f>
              <c:numCache>
                <c:formatCode>_(* #,##0_);_(* \(#,##0\);_(* "-"??_);_(@_)</c:formatCode>
                <c:ptCount val="17"/>
                <c:pt idx="0">
                  <c:v>11863293</c:v>
                </c:pt>
                <c:pt idx="1">
                  <c:v>6606078.6979999999</c:v>
                </c:pt>
                <c:pt idx="2">
                  <c:v>7961221.0470000003</c:v>
                </c:pt>
                <c:pt idx="3">
                  <c:v>7379355.7939999998</c:v>
                </c:pt>
                <c:pt idx="4">
                  <c:v>7986135</c:v>
                </c:pt>
                <c:pt idx="5">
                  <c:v>7319961.1199999992</c:v>
                </c:pt>
                <c:pt idx="6">
                  <c:v>8459743.8580000009</c:v>
                </c:pt>
                <c:pt idx="7">
                  <c:v>9021053.5899999999</c:v>
                </c:pt>
                <c:pt idx="8">
                  <c:v>11846699.790000001</c:v>
                </c:pt>
                <c:pt idx="9">
                  <c:v>12207985.115</c:v>
                </c:pt>
                <c:pt idx="10">
                  <c:v>7003277.7319999998</c:v>
                </c:pt>
                <c:pt idx="11">
                  <c:v>7439486.4199999999</c:v>
                </c:pt>
                <c:pt idx="12">
                  <c:v>11949790.454</c:v>
                </c:pt>
                <c:pt idx="13">
                  <c:v>10442483.584728148</c:v>
                </c:pt>
                <c:pt idx="14">
                  <c:v>11807835</c:v>
                </c:pt>
                <c:pt idx="15">
                  <c:v>9937111</c:v>
                </c:pt>
                <c:pt idx="16">
                  <c:v>10181880</c:v>
                </c:pt>
              </c:numCache>
            </c:numRef>
          </c:val>
          <c:extLst>
            <c:ext xmlns:c16="http://schemas.microsoft.com/office/drawing/2014/chart" uri="{C3380CC4-5D6E-409C-BE32-E72D297353CC}">
              <c16:uniqueId val="{00000003-4CF9-4082-8C79-88E63C394D96}"/>
            </c:ext>
          </c:extLst>
        </c:ser>
        <c:ser>
          <c:idx val="5"/>
          <c:order val="3"/>
          <c:tx>
            <c:strRef>
              <c:f>'State Agg Fuel Mix 2000-2017'!$A$31</c:f>
              <c:strCache>
                <c:ptCount val="1"/>
                <c:pt idx="0">
                  <c:v>Nuclear </c:v>
                </c:pt>
              </c:strCache>
            </c:strRef>
          </c:tx>
          <c:spPr>
            <a:solidFill>
              <a:srgbClr val="92D050"/>
            </a:solidFill>
            <a:ln>
              <a:noFill/>
            </a:ln>
          </c:spPr>
          <c:invertIfNegative val="0"/>
          <c:cat>
            <c:strRef>
              <c:f>'State Agg Fuel Mix 2000-2017'!$C$5:$S$5</c:f>
              <c:strCache>
                <c:ptCount val="1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strCache>
            </c:strRef>
          </c:cat>
          <c:val>
            <c:numRef>
              <c:f>'State Agg Fuel Mix 2000-2017'!$C$31:$S$31</c:f>
              <c:numCache>
                <c:formatCode>_(* #,##0_);_(* \(#,##0\);_(* "-"??_);_(@_)</c:formatCode>
                <c:ptCount val="17"/>
                <c:pt idx="0">
                  <c:v>3975371</c:v>
                </c:pt>
                <c:pt idx="1">
                  <c:v>3858715.5279999999</c:v>
                </c:pt>
                <c:pt idx="2">
                  <c:v>3726175.2439999999</c:v>
                </c:pt>
                <c:pt idx="3">
                  <c:v>4591072</c:v>
                </c:pt>
                <c:pt idx="4">
                  <c:v>4403537</c:v>
                </c:pt>
                <c:pt idx="5">
                  <c:v>4513216</c:v>
                </c:pt>
                <c:pt idx="6">
                  <c:v>4326265</c:v>
                </c:pt>
                <c:pt idx="7">
                  <c:v>5083665</c:v>
                </c:pt>
                <c:pt idx="8">
                  <c:v>3653541</c:v>
                </c:pt>
                <c:pt idx="9">
                  <c:v>5430617.4440000001</c:v>
                </c:pt>
                <c:pt idx="10">
                  <c:v>2390244.5189999999</c:v>
                </c:pt>
                <c:pt idx="11">
                  <c:v>4239397.852</c:v>
                </c:pt>
                <c:pt idx="12">
                  <c:v>4247504.0990000004</c:v>
                </c:pt>
                <c:pt idx="13">
                  <c:v>4617390.9954746496</c:v>
                </c:pt>
                <c:pt idx="14">
                  <c:v>4021955</c:v>
                </c:pt>
                <c:pt idx="15">
                  <c:v>4308647</c:v>
                </c:pt>
                <c:pt idx="16">
                  <c:v>3941745</c:v>
                </c:pt>
              </c:numCache>
            </c:numRef>
          </c:val>
          <c:extLst>
            <c:ext xmlns:c16="http://schemas.microsoft.com/office/drawing/2014/chart" uri="{C3380CC4-5D6E-409C-BE32-E72D297353CC}">
              <c16:uniqueId val="{00000004-4CF9-4082-8C79-88E63C394D96}"/>
            </c:ext>
          </c:extLst>
        </c:ser>
        <c:ser>
          <c:idx val="6"/>
          <c:order val="4"/>
          <c:tx>
            <c:strRef>
              <c:f>'State Agg Fuel Mix 2000-2017'!$A$32</c:f>
              <c:strCache>
                <c:ptCount val="1"/>
                <c:pt idx="0">
                  <c:v>Wind </c:v>
                </c:pt>
              </c:strCache>
            </c:strRef>
          </c:tx>
          <c:spPr>
            <a:solidFill>
              <a:schemeClr val="tx1"/>
            </a:solidFill>
            <a:ln>
              <a:noFill/>
            </a:ln>
          </c:spPr>
          <c:invertIfNegative val="0"/>
          <c:cat>
            <c:strRef>
              <c:f>'State Agg Fuel Mix 2000-2017'!$C$5:$S$5</c:f>
              <c:strCache>
                <c:ptCount val="1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strCache>
            </c:strRef>
          </c:cat>
          <c:val>
            <c:numRef>
              <c:f>'State Agg Fuel Mix 2000-2017'!$C$32:$S$32</c:f>
              <c:numCache>
                <c:formatCode>_(* #,##0_);_(* \(#,##0\);_(* "-"??_);_(@_)</c:formatCode>
                <c:ptCount val="17"/>
                <c:pt idx="0">
                  <c:v>23822</c:v>
                </c:pt>
                <c:pt idx="1">
                  <c:v>163134.48000000001</c:v>
                </c:pt>
                <c:pt idx="2">
                  <c:v>320539.98700000002</c:v>
                </c:pt>
                <c:pt idx="3">
                  <c:v>346470</c:v>
                </c:pt>
                <c:pt idx="4">
                  <c:v>432667</c:v>
                </c:pt>
                <c:pt idx="5">
                  <c:v>867392</c:v>
                </c:pt>
                <c:pt idx="6">
                  <c:v>545622</c:v>
                </c:pt>
                <c:pt idx="7">
                  <c:v>1010928</c:v>
                </c:pt>
                <c:pt idx="8">
                  <c:v>587994</c:v>
                </c:pt>
                <c:pt idx="9">
                  <c:v>567280.99399999995</c:v>
                </c:pt>
                <c:pt idx="10">
                  <c:v>1017701.777</c:v>
                </c:pt>
                <c:pt idx="11">
                  <c:v>3011137.4070000001</c:v>
                </c:pt>
                <c:pt idx="12">
                  <c:v>2859414.9079999998</c:v>
                </c:pt>
                <c:pt idx="13">
                  <c:v>2219612.94</c:v>
                </c:pt>
                <c:pt idx="14">
                  <c:v>2029032</c:v>
                </c:pt>
                <c:pt idx="15">
                  <c:v>3661267</c:v>
                </c:pt>
                <c:pt idx="16">
                  <c:v>2674081</c:v>
                </c:pt>
              </c:numCache>
            </c:numRef>
          </c:val>
          <c:extLst>
            <c:ext xmlns:c16="http://schemas.microsoft.com/office/drawing/2014/chart" uri="{C3380CC4-5D6E-409C-BE32-E72D297353CC}">
              <c16:uniqueId val="{00000005-4CF9-4082-8C79-88E63C394D96}"/>
            </c:ext>
          </c:extLst>
        </c:ser>
        <c:ser>
          <c:idx val="2"/>
          <c:order val="5"/>
          <c:tx>
            <c:strRef>
              <c:f>'State Agg Fuel Mix 2000-2017'!$A$33</c:f>
              <c:strCache>
                <c:ptCount val="1"/>
                <c:pt idx="0">
                  <c:v>Biomass, Petroleum, Waste, Landfill Gas, Geothermal, Solar, Other</c:v>
                </c:pt>
              </c:strCache>
            </c:strRef>
          </c:tx>
          <c:invertIfNegative val="0"/>
          <c:cat>
            <c:strRef>
              <c:f>'State Agg Fuel Mix 2000-2017'!$C$5:$S$5</c:f>
              <c:strCache>
                <c:ptCount val="1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strCache>
            </c:strRef>
          </c:cat>
          <c:val>
            <c:numRef>
              <c:f>'State Agg Fuel Mix 2000-2017'!$C$33:$S$33</c:f>
              <c:numCache>
                <c:formatCode>_(* #,##0_);_(* \(#,##0\);_(* "-"??_);_(@_)</c:formatCode>
                <c:ptCount val="17"/>
                <c:pt idx="0">
                  <c:v>1893417</c:v>
                </c:pt>
                <c:pt idx="1">
                  <c:v>892794.07000000007</c:v>
                </c:pt>
                <c:pt idx="2">
                  <c:v>690828.85599999991</c:v>
                </c:pt>
                <c:pt idx="3">
                  <c:v>864054</c:v>
                </c:pt>
                <c:pt idx="4">
                  <c:v>893929</c:v>
                </c:pt>
                <c:pt idx="5">
                  <c:v>870027.13699999987</c:v>
                </c:pt>
                <c:pt idx="6">
                  <c:v>891931.18500000006</c:v>
                </c:pt>
                <c:pt idx="7">
                  <c:v>821130.68800000008</c:v>
                </c:pt>
                <c:pt idx="8">
                  <c:v>899561.89500000014</c:v>
                </c:pt>
                <c:pt idx="9">
                  <c:v>971130.46600000013</c:v>
                </c:pt>
                <c:pt idx="10">
                  <c:v>947000.03100000008</c:v>
                </c:pt>
                <c:pt idx="11">
                  <c:v>819954.01800000004</c:v>
                </c:pt>
                <c:pt idx="12">
                  <c:v>665614.56499999994</c:v>
                </c:pt>
                <c:pt idx="13">
                  <c:v>752976.56904017203</c:v>
                </c:pt>
                <c:pt idx="14">
                  <c:v>765427</c:v>
                </c:pt>
                <c:pt idx="15">
                  <c:v>1047999</c:v>
                </c:pt>
                <c:pt idx="16">
                  <c:v>999623</c:v>
                </c:pt>
              </c:numCache>
            </c:numRef>
          </c:val>
          <c:extLst>
            <c:ext xmlns:c16="http://schemas.microsoft.com/office/drawing/2014/chart" uri="{C3380CC4-5D6E-409C-BE32-E72D297353CC}">
              <c16:uniqueId val="{00000000-92D3-4E34-BC44-A0A4AA6EA026}"/>
            </c:ext>
          </c:extLst>
        </c:ser>
        <c:dLbls>
          <c:showLegendKey val="0"/>
          <c:showVal val="0"/>
          <c:showCatName val="0"/>
          <c:showSerName val="0"/>
          <c:showPercent val="0"/>
          <c:showBubbleSize val="0"/>
        </c:dLbls>
        <c:gapWidth val="150"/>
        <c:overlap val="100"/>
        <c:axId val="50819840"/>
        <c:axId val="50821376"/>
      </c:barChart>
      <c:catAx>
        <c:axId val="50819840"/>
        <c:scaling>
          <c:orientation val="minMax"/>
        </c:scaling>
        <c:delete val="0"/>
        <c:axPos val="b"/>
        <c:numFmt formatCode="General" sourceLinked="0"/>
        <c:majorTickMark val="out"/>
        <c:minorTickMark val="none"/>
        <c:tickLblPos val="nextTo"/>
        <c:txPr>
          <a:bodyPr/>
          <a:lstStyle/>
          <a:p>
            <a:pPr>
              <a:defRPr b="1"/>
            </a:pPr>
            <a:endParaRPr lang="en-US"/>
          </a:p>
        </c:txPr>
        <c:crossAx val="50821376"/>
        <c:crosses val="autoZero"/>
        <c:auto val="1"/>
        <c:lblAlgn val="ctr"/>
        <c:lblOffset val="100"/>
        <c:noMultiLvlLbl val="0"/>
      </c:catAx>
      <c:valAx>
        <c:axId val="50821376"/>
        <c:scaling>
          <c:orientation val="minMax"/>
          <c:max val="120000000"/>
          <c:min val="0"/>
        </c:scaling>
        <c:delete val="0"/>
        <c:axPos val="l"/>
        <c:majorGridlines/>
        <c:numFmt formatCode="_(* #,##0_);_(* \(#,##0\);_(* &quot;-&quot;??_);_(@_)" sourceLinked="1"/>
        <c:majorTickMark val="out"/>
        <c:minorTickMark val="none"/>
        <c:tickLblPos val="nextTo"/>
        <c:crossAx val="50819840"/>
        <c:crosses val="autoZero"/>
        <c:crossBetween val="between"/>
      </c:valAx>
    </c:plotArea>
    <c:legend>
      <c:legendPos val="l"/>
      <c:layout>
        <c:manualLayout>
          <c:xMode val="edge"/>
          <c:yMode val="edge"/>
          <c:x val="0.11321993060365398"/>
          <c:y val="3.6488807978695512E-2"/>
          <c:w val="0.50808888914528028"/>
          <c:h val="0.25920136571440477"/>
        </c:manualLayout>
      </c:layout>
      <c:overlay val="1"/>
      <c:txPr>
        <a:bodyPr/>
        <a:lstStyle/>
        <a:p>
          <a:pPr>
            <a:defRPr sz="1100" b="1"/>
          </a:pPr>
          <a:endParaRPr lang="en-US"/>
        </a:p>
      </c:txPr>
    </c:legend>
    <c:plotVisOnly val="1"/>
    <c:dispBlanksAs val="gap"/>
    <c:showDLblsOverMax val="0"/>
  </c:chart>
  <c:spPr>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0.14461366141778728"/>
          <c:y val="2.5073441023124143E-2"/>
          <c:w val="0.83873918098606226"/>
          <c:h val="0.91835100896940725"/>
        </c:manualLayout>
      </c:layout>
      <c:barChart>
        <c:barDir val="col"/>
        <c:grouping val="stacked"/>
        <c:varyColors val="0"/>
        <c:ser>
          <c:idx val="0"/>
          <c:order val="0"/>
          <c:tx>
            <c:strRef>
              <c:f>'Fossil Fuel Emissions'!$A$5</c:f>
              <c:strCache>
                <c:ptCount val="1"/>
                <c:pt idx="0">
                  <c:v>Coal </c:v>
                </c:pt>
              </c:strCache>
            </c:strRef>
          </c:tx>
          <c:spPr>
            <a:solidFill>
              <a:schemeClr val="bg1">
                <a:lumMod val="65000"/>
              </a:schemeClr>
            </a:solidFill>
          </c:spPr>
          <c:invertIfNegative val="0"/>
          <c:cat>
            <c:numRef>
              <c:f>'Fossil Fuel Emissions'!$E$4:$Q$4</c:f>
              <c:numCache>
                <c:formatCode>General</c:formatCode>
                <c:ptCount val="1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numCache>
            </c:numRef>
          </c:cat>
          <c:val>
            <c:numRef>
              <c:f>'Fossil Fuel Emissions'!$E$5:$Q$5</c:f>
              <c:numCache>
                <c:formatCode>_(* #,##0_);_(* \(#,##0\);_(* "-"??_);_(@_)</c:formatCode>
                <c:ptCount val="13"/>
                <c:pt idx="0">
                  <c:v>16801894</c:v>
                </c:pt>
                <c:pt idx="1">
                  <c:v>16192193</c:v>
                </c:pt>
                <c:pt idx="2">
                  <c:v>16807612</c:v>
                </c:pt>
                <c:pt idx="3">
                  <c:v>16623196</c:v>
                </c:pt>
                <c:pt idx="4">
                  <c:v>16184895</c:v>
                </c:pt>
                <c:pt idx="5">
                  <c:v>17446654.929000001</c:v>
                </c:pt>
                <c:pt idx="6">
                  <c:v>14131167.890000001</c:v>
                </c:pt>
                <c:pt idx="7">
                  <c:v>13315348.472999999</c:v>
                </c:pt>
                <c:pt idx="8">
                  <c:v>14707901.372</c:v>
                </c:pt>
                <c:pt idx="9">
                  <c:v>15388816.629212292</c:v>
                </c:pt>
                <c:pt idx="10">
                  <c:v>15468167.475</c:v>
                </c:pt>
                <c:pt idx="11">
                  <c:v>13786065</c:v>
                </c:pt>
                <c:pt idx="12" formatCode="#,##0">
                  <c:v>13222812.987</c:v>
                </c:pt>
              </c:numCache>
            </c:numRef>
          </c:val>
          <c:extLst>
            <c:ext xmlns:c16="http://schemas.microsoft.com/office/drawing/2014/chart" uri="{C3380CC4-5D6E-409C-BE32-E72D297353CC}">
              <c16:uniqueId val="{00000000-90CD-4046-9CE7-C2AE17B15A9F}"/>
            </c:ext>
          </c:extLst>
        </c:ser>
        <c:ser>
          <c:idx val="1"/>
          <c:order val="1"/>
          <c:tx>
            <c:strRef>
              <c:f>'Fossil Fuel Emissions'!$A$6</c:f>
              <c:strCache>
                <c:ptCount val="1"/>
                <c:pt idx="0">
                  <c:v>Natural Gas</c:v>
                </c:pt>
              </c:strCache>
            </c:strRef>
          </c:tx>
          <c:spPr>
            <a:solidFill>
              <a:srgbClr val="0070C0"/>
            </a:solidFill>
          </c:spPr>
          <c:invertIfNegative val="0"/>
          <c:cat>
            <c:numRef>
              <c:f>'Fossil Fuel Emissions'!$E$4:$Q$4</c:f>
              <c:numCache>
                <c:formatCode>General</c:formatCode>
                <c:ptCount val="1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numCache>
            </c:numRef>
          </c:cat>
          <c:val>
            <c:numRef>
              <c:f>'Fossil Fuel Emissions'!$E$6:$Q$6</c:f>
              <c:numCache>
                <c:formatCode>_(* #,##0_);_(* \(#,##0\);_(* "-"??_);_(@_)</c:formatCode>
                <c:ptCount val="13"/>
                <c:pt idx="0">
                  <c:v>3983081</c:v>
                </c:pt>
                <c:pt idx="1">
                  <c:v>3690128</c:v>
                </c:pt>
                <c:pt idx="2">
                  <c:v>4231567</c:v>
                </c:pt>
                <c:pt idx="3">
                  <c:v>3999440</c:v>
                </c:pt>
                <c:pt idx="4">
                  <c:v>5294879</c:v>
                </c:pt>
                <c:pt idx="5">
                  <c:v>5332433.108</c:v>
                </c:pt>
                <c:pt idx="6">
                  <c:v>3081956.3689999999</c:v>
                </c:pt>
                <c:pt idx="7">
                  <c:v>3246820.952</c:v>
                </c:pt>
                <c:pt idx="8">
                  <c:v>5306865.057</c:v>
                </c:pt>
                <c:pt idx="9">
                  <c:v>4585795.4732845128</c:v>
                </c:pt>
                <c:pt idx="10">
                  <c:v>5416549.625</c:v>
                </c:pt>
                <c:pt idx="11">
                  <c:v>4713692</c:v>
                </c:pt>
                <c:pt idx="12" formatCode="#,##0">
                  <c:v>4585970.3310000002</c:v>
                </c:pt>
              </c:numCache>
            </c:numRef>
          </c:val>
          <c:extLst>
            <c:ext xmlns:c16="http://schemas.microsoft.com/office/drawing/2014/chart" uri="{C3380CC4-5D6E-409C-BE32-E72D297353CC}">
              <c16:uniqueId val="{00000001-90CD-4046-9CE7-C2AE17B15A9F}"/>
            </c:ext>
          </c:extLst>
        </c:ser>
        <c:ser>
          <c:idx val="2"/>
          <c:order val="2"/>
          <c:tx>
            <c:strRef>
              <c:f>'Fossil Fuel Emissions'!$A$7</c:f>
              <c:strCache>
                <c:ptCount val="1"/>
                <c:pt idx="0">
                  <c:v>Waste </c:v>
                </c:pt>
              </c:strCache>
            </c:strRef>
          </c:tx>
          <c:spPr>
            <a:solidFill>
              <a:schemeClr val="tx1"/>
            </a:solidFill>
          </c:spPr>
          <c:invertIfNegative val="0"/>
          <c:cat>
            <c:numRef>
              <c:f>'Fossil Fuel Emissions'!$E$4:$Q$4</c:f>
              <c:numCache>
                <c:formatCode>General</c:formatCode>
                <c:ptCount val="1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numCache>
            </c:numRef>
          </c:cat>
          <c:val>
            <c:numRef>
              <c:f>'Fossil Fuel Emissions'!$E$7:$Q$7</c:f>
              <c:numCache>
                <c:formatCode>_(* #,##0_);_(* \(#,##0\);_(* "-"??_);_(@_)</c:formatCode>
                <c:ptCount val="13"/>
                <c:pt idx="0">
                  <c:v>235470</c:v>
                </c:pt>
                <c:pt idx="1">
                  <c:v>132414</c:v>
                </c:pt>
                <c:pt idx="2">
                  <c:v>133872</c:v>
                </c:pt>
                <c:pt idx="3">
                  <c:v>122435</c:v>
                </c:pt>
                <c:pt idx="4">
                  <c:v>128390</c:v>
                </c:pt>
                <c:pt idx="5">
                  <c:v>139575.291</c:v>
                </c:pt>
                <c:pt idx="6">
                  <c:v>146862.842</c:v>
                </c:pt>
                <c:pt idx="7">
                  <c:v>101207.819</c:v>
                </c:pt>
                <c:pt idx="8">
                  <c:v>80093.183999999994</c:v>
                </c:pt>
                <c:pt idx="9">
                  <c:v>104993.20988954855</c:v>
                </c:pt>
                <c:pt idx="10">
                  <c:v>109880.10799999999</c:v>
                </c:pt>
                <c:pt idx="11">
                  <c:v>109384</c:v>
                </c:pt>
                <c:pt idx="12" formatCode="#,##0">
                  <c:v>108872.723</c:v>
                </c:pt>
              </c:numCache>
            </c:numRef>
          </c:val>
          <c:extLst>
            <c:ext xmlns:c16="http://schemas.microsoft.com/office/drawing/2014/chart" uri="{C3380CC4-5D6E-409C-BE32-E72D297353CC}">
              <c16:uniqueId val="{00000002-90CD-4046-9CE7-C2AE17B15A9F}"/>
            </c:ext>
          </c:extLst>
        </c:ser>
        <c:ser>
          <c:idx val="3"/>
          <c:order val="3"/>
          <c:tx>
            <c:strRef>
              <c:f>'Fossil Fuel Emissions'!$A$8</c:f>
              <c:strCache>
                <c:ptCount val="1"/>
                <c:pt idx="0">
                  <c:v>Petroleum</c:v>
                </c:pt>
              </c:strCache>
            </c:strRef>
          </c:tx>
          <c:spPr>
            <a:solidFill>
              <a:schemeClr val="tx1"/>
            </a:solidFill>
          </c:spPr>
          <c:invertIfNegative val="0"/>
          <c:cat>
            <c:numRef>
              <c:f>'Fossil Fuel Emissions'!$E$4:$Q$4</c:f>
              <c:numCache>
                <c:formatCode>General</c:formatCode>
                <c:ptCount val="1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numCache>
            </c:numRef>
          </c:cat>
          <c:val>
            <c:numRef>
              <c:f>'Fossil Fuel Emissions'!$E$8:$Q$8</c:f>
              <c:numCache>
                <c:formatCode>_(* #,##0_);_(* \(#,##0\);_(* "-"??_);_(@_)</c:formatCode>
                <c:ptCount val="13"/>
                <c:pt idx="0">
                  <c:v>40411</c:v>
                </c:pt>
                <c:pt idx="1">
                  <c:v>93863</c:v>
                </c:pt>
                <c:pt idx="2">
                  <c:v>105428</c:v>
                </c:pt>
                <c:pt idx="3">
                  <c:v>111529</c:v>
                </c:pt>
                <c:pt idx="4">
                  <c:v>133445</c:v>
                </c:pt>
                <c:pt idx="5">
                  <c:v>120418.629</c:v>
                </c:pt>
                <c:pt idx="6">
                  <c:v>76738.457999999999</c:v>
                </c:pt>
                <c:pt idx="7">
                  <c:v>75655.854999999996</c:v>
                </c:pt>
                <c:pt idx="8">
                  <c:v>74618.245999999999</c:v>
                </c:pt>
                <c:pt idx="9">
                  <c:v>66774.786290258839</c:v>
                </c:pt>
                <c:pt idx="10">
                  <c:v>79656.335999999996</c:v>
                </c:pt>
                <c:pt idx="11">
                  <c:v>66325</c:v>
                </c:pt>
                <c:pt idx="12" formatCode="#,##0">
                  <c:v>79179</c:v>
                </c:pt>
              </c:numCache>
            </c:numRef>
          </c:val>
          <c:extLst>
            <c:ext xmlns:c16="http://schemas.microsoft.com/office/drawing/2014/chart" uri="{C3380CC4-5D6E-409C-BE32-E72D297353CC}">
              <c16:uniqueId val="{00000003-90CD-4046-9CE7-C2AE17B15A9F}"/>
            </c:ext>
          </c:extLst>
        </c:ser>
        <c:ser>
          <c:idx val="4"/>
          <c:order val="4"/>
          <c:tx>
            <c:strRef>
              <c:f>'Fossil Fuel Emissions'!$A$9</c:f>
              <c:strCache>
                <c:ptCount val="1"/>
                <c:pt idx="0">
                  <c:v>Landfill Gases </c:v>
                </c:pt>
              </c:strCache>
            </c:strRef>
          </c:tx>
          <c:spPr>
            <a:solidFill>
              <a:schemeClr val="tx1"/>
            </a:solidFill>
          </c:spPr>
          <c:invertIfNegative val="0"/>
          <c:cat>
            <c:numRef>
              <c:f>'Fossil Fuel Emissions'!$E$4:$Q$4</c:f>
              <c:numCache>
                <c:formatCode>General</c:formatCode>
                <c:ptCount val="1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numCache>
            </c:numRef>
          </c:cat>
          <c:val>
            <c:numRef>
              <c:f>'Fossil Fuel Emissions'!$E$9:$Q$9</c:f>
              <c:numCache>
                <c:formatCode>_(* #,##0_);_(* \(#,##0\);_(* "-"??_);_(@_)</c:formatCode>
                <c:ptCount val="13"/>
                <c:pt idx="0">
                  <c:v>0</c:v>
                </c:pt>
                <c:pt idx="1">
                  <c:v>33923</c:v>
                </c:pt>
                <c:pt idx="2">
                  <c:v>28215</c:v>
                </c:pt>
                <c:pt idx="3">
                  <c:v>14342</c:v>
                </c:pt>
                <c:pt idx="4">
                  <c:v>10016</c:v>
                </c:pt>
                <c:pt idx="5">
                  <c:v>10693.619000000001</c:v>
                </c:pt>
                <c:pt idx="6">
                  <c:v>33894.17</c:v>
                </c:pt>
                <c:pt idx="7">
                  <c:v>57696.461000000003</c:v>
                </c:pt>
                <c:pt idx="8">
                  <c:v>43376.118000000002</c:v>
                </c:pt>
                <c:pt idx="9">
                  <c:v>75497.692437414866</c:v>
                </c:pt>
                <c:pt idx="10">
                  <c:v>73299.294999999998</c:v>
                </c:pt>
                <c:pt idx="11">
                  <c:v>67161</c:v>
                </c:pt>
                <c:pt idx="12" formatCode="#,##0">
                  <c:v>74856.077999999994</c:v>
                </c:pt>
              </c:numCache>
            </c:numRef>
          </c:val>
          <c:extLst>
            <c:ext xmlns:c16="http://schemas.microsoft.com/office/drawing/2014/chart" uri="{C3380CC4-5D6E-409C-BE32-E72D297353CC}">
              <c16:uniqueId val="{00000004-90CD-4046-9CE7-C2AE17B15A9F}"/>
            </c:ext>
          </c:extLst>
        </c:ser>
        <c:ser>
          <c:idx val="5"/>
          <c:order val="5"/>
          <c:tx>
            <c:strRef>
              <c:f>'Fossil Fuel Emissions'!$A$10</c:f>
              <c:strCache>
                <c:ptCount val="1"/>
                <c:pt idx="0">
                  <c:v>Other</c:v>
                </c:pt>
              </c:strCache>
            </c:strRef>
          </c:tx>
          <c:spPr>
            <a:solidFill>
              <a:schemeClr val="tx1"/>
            </a:solidFill>
          </c:spPr>
          <c:invertIfNegative val="0"/>
          <c:cat>
            <c:numRef>
              <c:f>'Fossil Fuel Emissions'!$E$4:$Q$4</c:f>
              <c:numCache>
                <c:formatCode>General</c:formatCode>
                <c:ptCount val="1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numCache>
            </c:numRef>
          </c:cat>
          <c:val>
            <c:numRef>
              <c:f>'Fossil Fuel Emissions'!$E$10:$Q$10</c:f>
              <c:numCache>
                <c:formatCode>_(* #,##0_);_(* \(#,##0\);_(* "-"??_);_(@_)</c:formatCode>
                <c:ptCount val="13"/>
                <c:pt idx="0">
                  <c:v>0</c:v>
                </c:pt>
                <c:pt idx="1">
                  <c:v>3631</c:v>
                </c:pt>
                <c:pt idx="2">
                  <c:v>4959</c:v>
                </c:pt>
                <c:pt idx="3">
                  <c:v>0</c:v>
                </c:pt>
                <c:pt idx="4">
                  <c:v>0</c:v>
                </c:pt>
                <c:pt idx="5">
                  <c:v>0</c:v>
                </c:pt>
                <c:pt idx="6">
                  <c:v>0</c:v>
                </c:pt>
                <c:pt idx="7">
                  <c:v>0</c:v>
                </c:pt>
                <c:pt idx="8">
                  <c:v>0</c:v>
                </c:pt>
                <c:pt idx="11">
                  <c:v>102173</c:v>
                </c:pt>
                <c:pt idx="12" formatCode="#,##0">
                  <c:v>69961</c:v>
                </c:pt>
              </c:numCache>
            </c:numRef>
          </c:val>
          <c:extLst>
            <c:ext xmlns:c16="http://schemas.microsoft.com/office/drawing/2014/chart" uri="{C3380CC4-5D6E-409C-BE32-E72D297353CC}">
              <c16:uniqueId val="{00000005-90CD-4046-9CE7-C2AE17B15A9F}"/>
            </c:ext>
          </c:extLst>
        </c:ser>
        <c:dLbls>
          <c:showLegendKey val="0"/>
          <c:showVal val="0"/>
          <c:showCatName val="0"/>
          <c:showSerName val="0"/>
          <c:showPercent val="0"/>
          <c:showBubbleSize val="0"/>
        </c:dLbls>
        <c:gapWidth val="150"/>
        <c:overlap val="100"/>
        <c:axId val="51935872"/>
        <c:axId val="51949952"/>
      </c:barChart>
      <c:catAx>
        <c:axId val="51935872"/>
        <c:scaling>
          <c:orientation val="minMax"/>
        </c:scaling>
        <c:delete val="0"/>
        <c:axPos val="b"/>
        <c:numFmt formatCode="General" sourceLinked="1"/>
        <c:majorTickMark val="out"/>
        <c:minorTickMark val="none"/>
        <c:tickLblPos val="nextTo"/>
        <c:txPr>
          <a:bodyPr/>
          <a:lstStyle/>
          <a:p>
            <a:pPr>
              <a:defRPr b="1"/>
            </a:pPr>
            <a:endParaRPr lang="en-US"/>
          </a:p>
        </c:txPr>
        <c:crossAx val="51949952"/>
        <c:crosses val="autoZero"/>
        <c:auto val="1"/>
        <c:lblAlgn val="ctr"/>
        <c:lblOffset val="100"/>
        <c:noMultiLvlLbl val="0"/>
      </c:catAx>
      <c:valAx>
        <c:axId val="51949952"/>
        <c:scaling>
          <c:orientation val="minMax"/>
        </c:scaling>
        <c:delete val="0"/>
        <c:axPos val="l"/>
        <c:majorGridlines/>
        <c:title>
          <c:tx>
            <c:rich>
              <a:bodyPr rot="-5400000" vert="horz"/>
              <a:lstStyle/>
              <a:p>
                <a:pPr>
                  <a:defRPr/>
                </a:pPr>
                <a:r>
                  <a:rPr lang="en-US" sz="1200"/>
                  <a:t>Short Tons</a:t>
                </a:r>
              </a:p>
            </c:rich>
          </c:tx>
          <c:layout>
            <c:manualLayout>
              <c:xMode val="edge"/>
              <c:yMode val="edge"/>
              <c:x val="0"/>
              <c:y val="0.42069881000647269"/>
            </c:manualLayout>
          </c:layout>
          <c:overlay val="0"/>
        </c:title>
        <c:numFmt formatCode="_(* #,##0_);_(* \(#,##0\);_(* &quot;-&quot;??_);_(@_)" sourceLinked="1"/>
        <c:majorTickMark val="out"/>
        <c:minorTickMark val="none"/>
        <c:tickLblPos val="nextTo"/>
        <c:crossAx val="51935872"/>
        <c:crosses val="autoZero"/>
        <c:crossBetween val="between"/>
      </c:valAx>
    </c:plotArea>
    <c:plotVisOnly val="1"/>
    <c:dispBlanksAs val="gap"/>
    <c:showDLblsOverMax val="0"/>
  </c:chart>
  <c:spPr>
    <a:ln>
      <a:noFill/>
    </a:ln>
  </c:sp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200025</xdr:colOff>
      <xdr:row>34</xdr:row>
      <xdr:rowOff>22860</xdr:rowOff>
    </xdr:from>
    <xdr:to>
      <xdr:col>15</xdr:col>
      <xdr:colOff>466726</xdr:colOff>
      <xdr:row>53</xdr:row>
      <xdr:rowOff>144780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25</xdr:col>
      <xdr:colOff>560161</xdr:colOff>
      <xdr:row>58</xdr:row>
      <xdr:rowOff>15874</xdr:rowOff>
    </xdr:from>
    <xdr:to>
      <xdr:col>37</xdr:col>
      <xdr:colOff>8162</xdr:colOff>
      <xdr:row>110</xdr:row>
      <xdr:rowOff>43089</xdr:rowOff>
    </xdr:to>
    <xdr:grpSp>
      <xdr:nvGrpSpPr>
        <xdr:cNvPr id="2" name="Group 1"/>
        <xdr:cNvGrpSpPr/>
      </xdr:nvGrpSpPr>
      <xdr:grpSpPr>
        <a:xfrm>
          <a:off x="30796321" y="10249534"/>
          <a:ext cx="16364401" cy="9140735"/>
          <a:chOff x="31697613" y="-362939"/>
          <a:chExt cx="12049351" cy="9577696"/>
        </a:xfrm>
      </xdr:grpSpPr>
      <xdr:graphicFrame macro="">
        <xdr:nvGraphicFramePr>
          <xdr:cNvPr id="16" name="Chart 15"/>
          <xdr:cNvGraphicFramePr/>
        </xdr:nvGraphicFramePr>
        <xdr:xfrm>
          <a:off x="31697613" y="1183821"/>
          <a:ext cx="10131878" cy="803093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17" name="Chart 16"/>
          <xdr:cNvGraphicFramePr/>
        </xdr:nvGraphicFramePr>
        <xdr:xfrm>
          <a:off x="35433000" y="-362939"/>
          <a:ext cx="8313964" cy="2239736"/>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4" name="Curved Left Arrow 3"/>
          <xdr:cNvSpPr/>
        </xdr:nvSpPr>
        <xdr:spPr>
          <a:xfrm rot="2458734">
            <a:off x="41429832" y="1888812"/>
            <a:ext cx="558724" cy="1902327"/>
          </a:xfrm>
          <a:prstGeom prst="curvedLeftArrow">
            <a:avLst>
              <a:gd name="adj1" fmla="val 14325"/>
              <a:gd name="adj2" fmla="val 50000"/>
              <a:gd name="adj3" fmla="val 27397"/>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grpSp>
    <xdr:clientData/>
  </xdr:twoCellAnchor>
  <xdr:twoCellAnchor>
    <xdr:from>
      <xdr:col>22</xdr:col>
      <xdr:colOff>70278</xdr:colOff>
      <xdr:row>4</xdr:row>
      <xdr:rowOff>61384</xdr:rowOff>
    </xdr:from>
    <xdr:to>
      <xdr:col>27</xdr:col>
      <xdr:colOff>1342389</xdr:colOff>
      <xdr:row>28</xdr:row>
      <xdr:rowOff>115995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111282</xdr:colOff>
      <xdr:row>1</xdr:row>
      <xdr:rowOff>1269</xdr:rowOff>
    </xdr:from>
    <xdr:to>
      <xdr:col>23</xdr:col>
      <xdr:colOff>560386</xdr:colOff>
      <xdr:row>33</xdr:row>
      <xdr:rowOff>1269</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0.13587</cdr:x>
      <cdr:y>0.01465</cdr:y>
    </cdr:from>
    <cdr:to>
      <cdr:x>0.67295</cdr:x>
      <cdr:y>0.16045</cdr:y>
    </cdr:to>
    <cdr:sp macro="" textlink="">
      <cdr:nvSpPr>
        <cdr:cNvPr id="3" name="TextBox 1"/>
        <cdr:cNvSpPr txBox="1"/>
      </cdr:nvSpPr>
      <cdr:spPr>
        <a:xfrm xmlns:a="http://schemas.openxmlformats.org/drawingml/2006/main">
          <a:off x="829237" y="82385"/>
          <a:ext cx="3277877" cy="81991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sz="1300" b="1">
              <a:effectLst/>
              <a:latin typeface="+mn-lt"/>
              <a:ea typeface="+mn-ea"/>
              <a:cs typeface="+mn-cs"/>
            </a:rPr>
            <a:t>Waste, Petroleum, Other</a:t>
          </a:r>
          <a:endParaRPr lang="en-US" sz="1300" b="1">
            <a:solidFill>
              <a:schemeClr val="bg1">
                <a:lumMod val="50000"/>
              </a:schemeClr>
            </a:solidFill>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en-US" sz="1300" b="1" i="0" u="none" strike="noStrike" kern="0" cap="none" spc="0" normalizeH="0" baseline="0" noProof="0">
              <a:ln>
                <a:noFill/>
              </a:ln>
              <a:solidFill>
                <a:srgbClr val="0070C0"/>
              </a:solidFill>
              <a:effectLst/>
              <a:uLnTx/>
              <a:uFillTx/>
              <a:latin typeface="+mn-lt"/>
              <a:ea typeface="+mn-ea"/>
              <a:cs typeface="+mn-cs"/>
            </a:rPr>
            <a:t>Natural Gas and Cogeneration</a:t>
          </a:r>
          <a:endParaRPr lang="en-US" sz="1300" b="1">
            <a:solidFill>
              <a:schemeClr val="bg1">
                <a:lumMod val="50000"/>
              </a:schemeClr>
            </a:solidFill>
          </a:endParaRPr>
        </a:p>
        <a:p xmlns:a="http://schemas.openxmlformats.org/drawingml/2006/main">
          <a:r>
            <a:rPr lang="en-US" sz="1300" b="1">
              <a:solidFill>
                <a:schemeClr val="bg1">
                  <a:lumMod val="50000"/>
                </a:schemeClr>
              </a:solidFill>
            </a:rPr>
            <a:t>Coal</a:t>
          </a:r>
          <a:endParaRPr lang="en-US" sz="1300" b="1">
            <a:solidFill>
              <a:sysClr val="windowText" lastClr="000000"/>
            </a:solidFill>
          </a:endParaRPr>
        </a:p>
        <a:p xmlns:a="http://schemas.openxmlformats.org/drawingml/2006/main">
          <a:endParaRPr lang="en-US" sz="2000"/>
        </a:p>
      </cdr:txBody>
    </cdr:sp>
  </cdr:relSizeAnchor>
</c:userShapes>
</file>

<file path=xl/tables/table1.xml><?xml version="1.0" encoding="utf-8"?>
<table xmlns="http://schemas.openxmlformats.org/spreadsheetml/2006/main" id="8" name="Table8" displayName="Table8" ref="A5:S21" totalsRowShown="0" headerRowDxfId="87" dataDxfId="86" dataCellStyle="Comma">
  <autoFilter ref="A5:S21"/>
  <sortState ref="A6:Q21">
    <sortCondition ref="P5:P21"/>
  </sortState>
  <tableColumns count="19">
    <tableColumn id="1" name="Fuel Source" dataDxfId="85">
      <calculatedColumnFormula>'State Agg Fuel Mix 2000-2017'!A6</calculatedColumnFormula>
    </tableColumn>
    <tableColumn id="2" name="2000" dataDxfId="84" dataCellStyle="Comma">
      <calculatedColumnFormula>'State Agg Fuel Mix 2000-2017'!B6</calculatedColumnFormula>
    </tableColumn>
    <tableColumn id="3" name="2001" dataDxfId="83" dataCellStyle="Comma">
      <calculatedColumnFormula>'State Agg Fuel Mix 2000-2017'!C6</calculatedColumnFormula>
    </tableColumn>
    <tableColumn id="4" name="2002" dataDxfId="82" dataCellStyle="Comma">
      <calculatedColumnFormula>'State Agg Fuel Mix 2000-2017'!D6</calculatedColumnFormula>
    </tableColumn>
    <tableColumn id="5" name="2003" dataDxfId="81" dataCellStyle="Comma">
      <calculatedColumnFormula>'State Agg Fuel Mix 2000-2017'!E6</calculatedColumnFormula>
    </tableColumn>
    <tableColumn id="6" name="2004" dataDxfId="80" dataCellStyle="Comma">
      <calculatedColumnFormula>'State Agg Fuel Mix 2000-2017'!F6</calculatedColumnFormula>
    </tableColumn>
    <tableColumn id="7" name="2005" dataDxfId="79" dataCellStyle="Comma">
      <calculatedColumnFormula>'State Agg Fuel Mix 2000-2017'!G6</calculatedColumnFormula>
    </tableColumn>
    <tableColumn id="8" name="2006" dataDxfId="78" dataCellStyle="Comma">
      <calculatedColumnFormula>'State Agg Fuel Mix 2000-2017'!H6</calculatedColumnFormula>
    </tableColumn>
    <tableColumn id="9" name="2007" dataDxfId="77" dataCellStyle="Comma">
      <calculatedColumnFormula>'State Agg Fuel Mix 2000-2017'!I6</calculatedColumnFormula>
    </tableColumn>
    <tableColumn id="10" name="2008" dataDxfId="76" dataCellStyle="Comma">
      <calculatedColumnFormula>'State Agg Fuel Mix 2000-2017'!J6</calculatedColumnFormula>
    </tableColumn>
    <tableColumn id="11" name="2009" dataDxfId="75" dataCellStyle="Comma">
      <calculatedColumnFormula>'State Agg Fuel Mix 2000-2017'!K6</calculatedColumnFormula>
    </tableColumn>
    <tableColumn id="12" name="2010" dataDxfId="74" dataCellStyle="Comma">
      <calculatedColumnFormula>'State Agg Fuel Mix 2000-2017'!L6</calculatedColumnFormula>
    </tableColumn>
    <tableColumn id="13" name="2011" dataDxfId="73" dataCellStyle="Comma">
      <calculatedColumnFormula>'State Agg Fuel Mix 2000-2017'!M6</calculatedColumnFormula>
    </tableColumn>
    <tableColumn id="14" name="2012" dataDxfId="72" dataCellStyle="Comma">
      <calculatedColumnFormula>'State Agg Fuel Mix 2000-2017'!N6</calculatedColumnFormula>
    </tableColumn>
    <tableColumn id="15" name="2013" dataDxfId="71" dataCellStyle="Comma">
      <calculatedColumnFormula>'State Agg Fuel Mix 2000-2017'!O6</calculatedColumnFormula>
    </tableColumn>
    <tableColumn id="16" name="2014" dataDxfId="70" dataCellStyle="Comma">
      <calculatedColumnFormula>'State Agg Fuel Mix 2000-2017'!P6</calculatedColumnFormula>
    </tableColumn>
    <tableColumn id="17" name="2015" dataDxfId="69" dataCellStyle="Comma"/>
    <tableColumn id="18" name="2016" dataDxfId="68" dataCellStyle="Comma"/>
    <tableColumn id="19" name="2017" dataDxfId="67" dataCellStyle="Comma"/>
  </tableColumns>
  <tableStyleInfo name="TableStyleMedium1" showFirstColumn="0" showLastColumn="0" showRowStripes="1" showColumnStripes="0"/>
</table>
</file>

<file path=xl/tables/table2.xml><?xml version="1.0" encoding="utf-8"?>
<table xmlns="http://schemas.openxmlformats.org/spreadsheetml/2006/main" id="1" name="Table1" displayName="Table1" ref="A5:V20" totalsRowShown="0" headerRowDxfId="66" dataDxfId="65">
  <autoFilter ref="A5:V20"/>
  <tableColumns count="22">
    <tableColumn id="1" name="Fuel Source" dataDxfId="64"/>
    <tableColumn id="2" name="2000" dataDxfId="63" dataCellStyle="Comma"/>
    <tableColumn id="3" name="2001" dataDxfId="62" dataCellStyle="Comma"/>
    <tableColumn id="4" name="2002" dataDxfId="61" dataCellStyle="Comma"/>
    <tableColumn id="5" name="2003" dataDxfId="60" dataCellStyle="Comma"/>
    <tableColumn id="6" name="2004" dataDxfId="59" dataCellStyle="Comma"/>
    <tableColumn id="7" name="2005" dataDxfId="58" dataCellStyle="Comma"/>
    <tableColumn id="8" name="2006" dataDxfId="57" dataCellStyle="Comma"/>
    <tableColumn id="9" name="2007" dataDxfId="56" dataCellStyle="Comma"/>
    <tableColumn id="10" name="2008" dataDxfId="55" dataCellStyle="Comma"/>
    <tableColumn id="11" name="2009" dataDxfId="54" dataCellStyle="Comma"/>
    <tableColumn id="12" name="2010" dataDxfId="53" dataCellStyle="Comma"/>
    <tableColumn id="13" name="2011" dataDxfId="52" dataCellStyle="Comma"/>
    <tableColumn id="14" name="2012" dataDxfId="51" dataCellStyle="Comma"/>
    <tableColumn id="15" name="2013" dataDxfId="50" dataCellStyle="Comma"/>
    <tableColumn id="16" name="2014" dataDxfId="49" dataCellStyle="Comma"/>
    <tableColumn id="17" name="2015" dataDxfId="48"/>
    <tableColumn id="18" name="2016" dataDxfId="47"/>
    <tableColumn id="22" name="2017"/>
    <tableColumn id="19" name="Average" dataDxfId="46" dataCellStyle="Comma">
      <calculatedColumnFormula>AVERAGE(Table1[[#This Row],[2000]:[2016]])</calculatedColumnFormula>
    </tableColumn>
    <tableColumn id="20" name="Std dev" dataDxfId="45" dataCellStyle="Comma">
      <calculatedColumnFormula>STDEV(Table1[[#This Row],[2000]:[2016]])</calculatedColumnFormula>
    </tableColumn>
    <tableColumn id="21" name="95% CI" dataDxfId="44" dataCellStyle="Comma">
      <calculatedColumnFormula>1.96*Table1[[#This Row],[Std dev]]/SQRT(17)</calculatedColumnFormula>
    </tableColumn>
  </tableColumns>
  <tableStyleInfo name="TableStyleLight1" showFirstColumn="0" showLastColumn="0" showRowStripes="1" showColumnStripes="0"/>
</table>
</file>

<file path=xl/tables/table3.xml><?xml version="1.0" encoding="utf-8"?>
<table xmlns="http://schemas.openxmlformats.org/spreadsheetml/2006/main" id="3" name="Table3" displayName="Table3" ref="A39:S53" totalsRowShown="0" headerRowDxfId="43" dataDxfId="41" headerRowBorderDxfId="42" tableBorderDxfId="40" dataCellStyle="Percent">
  <autoFilter ref="A39:S53"/>
  <tableColumns count="19">
    <tableColumn id="1" name="Fuel Source" dataDxfId="39"/>
    <tableColumn id="2" name="2000" dataDxfId="38" dataCellStyle="Percent"/>
    <tableColumn id="3" name="2001" dataDxfId="37" dataCellStyle="Percent"/>
    <tableColumn id="4" name="2002" dataDxfId="36" dataCellStyle="Percent"/>
    <tableColumn id="5" name="2003" dataDxfId="35" dataCellStyle="Percent"/>
    <tableColumn id="6" name="2004" dataDxfId="34" dataCellStyle="Percent"/>
    <tableColumn id="7" name="2005" dataDxfId="33" dataCellStyle="Percent"/>
    <tableColumn id="8" name="2006" dataDxfId="32" dataCellStyle="Percent"/>
    <tableColumn id="9" name="2007" dataDxfId="31" dataCellStyle="Percent"/>
    <tableColumn id="10" name="2008" dataDxfId="30" dataCellStyle="Percent"/>
    <tableColumn id="11" name="2009" dataDxfId="29" dataCellStyle="Percent"/>
    <tableColumn id="12" name="2010" dataDxfId="28" dataCellStyle="Percent"/>
    <tableColumn id="13" name="2011" dataDxfId="27" dataCellStyle="Percent"/>
    <tableColumn id="14" name="2012" dataDxfId="26" dataCellStyle="Percent"/>
    <tableColumn id="15" name="2013" dataDxfId="25" dataCellStyle="Percent"/>
    <tableColumn id="16" name="2014" dataDxfId="24" dataCellStyle="Percent"/>
    <tableColumn id="17" name="2015" dataDxfId="23" dataCellStyle="Percent"/>
    <tableColumn id="18" name="2016" dataDxfId="22" dataCellStyle="Percent"/>
    <tableColumn id="19" name="2017" dataDxfId="21" dataCellStyle="Percent"/>
  </tableColumns>
  <tableStyleInfo name="TableStyleLight1" showFirstColumn="0" showLastColumn="0" showRowStripes="1" showColumnStripes="0"/>
</table>
</file>

<file path=xl/tables/table4.xml><?xml version="1.0" encoding="utf-8"?>
<table xmlns="http://schemas.openxmlformats.org/spreadsheetml/2006/main" id="7" name="Table138" displayName="Table138" ref="A27:S34" totalsRowShown="0" headerRowDxfId="20" dataDxfId="19">
  <autoFilter ref="A27:S34"/>
  <tableColumns count="19">
    <tableColumn id="1" name="Fuel Source" dataDxfId="18"/>
    <tableColumn id="2" name="2000" dataDxfId="17" dataCellStyle="Comma">
      <calculatedColumnFormula>B7+B6</calculatedColumnFormula>
    </tableColumn>
    <tableColumn id="3" name="2001" dataDxfId="16" dataCellStyle="Comma"/>
    <tableColumn id="4" name="2002" dataDxfId="15" dataCellStyle="Comma"/>
    <tableColumn id="5" name="2003" dataDxfId="14" dataCellStyle="Comma"/>
    <tableColumn id="6" name="2004" dataDxfId="13" dataCellStyle="Comma"/>
    <tableColumn id="7" name="2005" dataDxfId="12" dataCellStyle="Comma"/>
    <tableColumn id="8" name="2006" dataDxfId="11" dataCellStyle="Comma"/>
    <tableColumn id="9" name="2007" dataDxfId="10" dataCellStyle="Comma"/>
    <tableColumn id="10" name="2008" dataDxfId="9" dataCellStyle="Comma"/>
    <tableColumn id="11" name="2009" dataDxfId="8" dataCellStyle="Comma"/>
    <tableColumn id="12" name="2010" dataDxfId="7" dataCellStyle="Comma"/>
    <tableColumn id="13" name="2011" dataDxfId="6" dataCellStyle="Comma"/>
    <tableColumn id="14" name="2012" dataDxfId="5" dataCellStyle="Comma"/>
    <tableColumn id="15" name="2013" dataDxfId="4"/>
    <tableColumn id="16" name="2014" dataDxfId="3"/>
    <tableColumn id="17" name="2015" dataDxfId="2"/>
    <tableColumn id="18" name="2016" dataDxfId="1"/>
    <tableColumn id="19" name="2017"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table" Target="../tables/table4.xml"/><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3"/>
  <sheetViews>
    <sheetView tabSelected="1" topLeftCell="A50" workbookViewId="0">
      <pane xSplit="1" topLeftCell="B1" activePane="topRight" state="frozen"/>
      <selection pane="topRight" activeCell="Q50" sqref="Q50"/>
    </sheetView>
  </sheetViews>
  <sheetFormatPr defaultColWidth="10.5546875" defaultRowHeight="13.8" x14ac:dyDescent="0.3"/>
  <cols>
    <col min="1" max="17" width="11.77734375" style="78" customWidth="1"/>
    <col min="18" max="18" width="11.6640625" style="78" customWidth="1"/>
    <col min="19" max="19" width="11.44140625" style="78" customWidth="1"/>
    <col min="20" max="16384" width="10.5546875" style="78"/>
  </cols>
  <sheetData>
    <row r="1" spans="1:19" x14ac:dyDescent="0.3">
      <c r="A1" s="84" t="str">
        <f>'State Agg Fuel Mix 2000-2017'!A1</f>
        <v>Electricity Consumption by Fuel Source</v>
      </c>
      <c r="D1" s="84" t="str">
        <f>'State Agg Fuel Mix 2000-2017'!D1</f>
        <v>Updated Dec 2018</v>
      </c>
    </row>
    <row r="2" spans="1:19" x14ac:dyDescent="0.3">
      <c r="A2" s="78" t="str">
        <f>'State Agg Fuel Mix 2000-2017'!A2</f>
        <v>Washington State Aggregate Fuel Mix 2000-2017</v>
      </c>
    </row>
    <row r="3" spans="1:19" x14ac:dyDescent="0.3">
      <c r="A3" s="78" t="str">
        <f>'State Agg Fuel Mix 2000-2017'!A3</f>
        <v>Megawatt Hours</v>
      </c>
    </row>
    <row r="5" spans="1:19" s="82" customFormat="1" x14ac:dyDescent="0.3">
      <c r="A5" s="85" t="s">
        <v>0</v>
      </c>
      <c r="B5" s="86" t="s">
        <v>13</v>
      </c>
      <c r="C5" s="86" t="s">
        <v>14</v>
      </c>
      <c r="D5" s="86" t="s">
        <v>15</v>
      </c>
      <c r="E5" s="86" t="s">
        <v>16</v>
      </c>
      <c r="F5" s="86" t="s">
        <v>17</v>
      </c>
      <c r="G5" s="86" t="s">
        <v>18</v>
      </c>
      <c r="H5" s="86" t="s">
        <v>19</v>
      </c>
      <c r="I5" s="86" t="s">
        <v>20</v>
      </c>
      <c r="J5" s="86" t="s">
        <v>21</v>
      </c>
      <c r="K5" s="86" t="s">
        <v>22</v>
      </c>
      <c r="L5" s="86" t="s">
        <v>27</v>
      </c>
      <c r="M5" s="86" t="s">
        <v>28</v>
      </c>
      <c r="N5" s="86" t="s">
        <v>36</v>
      </c>
      <c r="O5" s="86" t="s">
        <v>53</v>
      </c>
      <c r="P5" s="86" t="s">
        <v>55</v>
      </c>
      <c r="Q5" s="116" t="s">
        <v>67</v>
      </c>
      <c r="R5" s="86" t="s">
        <v>82</v>
      </c>
      <c r="S5" s="86" t="s">
        <v>92</v>
      </c>
    </row>
    <row r="6" spans="1:19" s="82" customFormat="1" x14ac:dyDescent="0.3">
      <c r="A6" s="85" t="str">
        <f>'State Agg Fuel Mix 2000-2017'!A15</f>
        <v>Landfill Gas</v>
      </c>
      <c r="B6" s="87">
        <f>'State Agg Fuel Mix 2000-2017'!B15</f>
        <v>68978</v>
      </c>
      <c r="C6" s="87">
        <f>'State Agg Fuel Mix 2000-2017'!C15</f>
        <v>70807</v>
      </c>
      <c r="D6" s="87">
        <f>'State Agg Fuel Mix 2000-2017'!D15</f>
        <v>220705.36</v>
      </c>
      <c r="E6" s="87">
        <f>'State Agg Fuel Mix 2000-2017'!E15</f>
        <v>75124.600000000006</v>
      </c>
      <c r="F6" s="87">
        <f>'State Agg Fuel Mix 2000-2017'!F15</f>
        <v>134122</v>
      </c>
      <c r="G6" s="87">
        <f>'State Agg Fuel Mix 2000-2017'!G15</f>
        <v>80500</v>
      </c>
      <c r="H6" s="87">
        <f>'State Agg Fuel Mix 2000-2017'!H15</f>
        <v>57857.902000000002</v>
      </c>
      <c r="I6" s="87">
        <f>'State Agg Fuel Mix 2000-2017'!I15</f>
        <v>49040.764999999999</v>
      </c>
      <c r="J6" s="87">
        <f>'State Agg Fuel Mix 2000-2017'!J15</f>
        <v>23043.042000000001</v>
      </c>
      <c r="K6" s="87">
        <f>'State Agg Fuel Mix 2000-2017'!K15</f>
        <v>16058.359</v>
      </c>
      <c r="L6" s="87">
        <f>'State Agg Fuel Mix 2000-2017'!L15</f>
        <v>18787.384999999998</v>
      </c>
      <c r="M6" s="87">
        <f>'State Agg Fuel Mix 2000-2017'!M15</f>
        <v>49209.462</v>
      </c>
      <c r="N6" s="87">
        <f>'State Agg Fuel Mix 2000-2017'!N15</f>
        <v>83664.820999999996</v>
      </c>
      <c r="O6" s="87">
        <f>'State Agg Fuel Mix 2000-2017'!O15</f>
        <v>60741.197999999997</v>
      </c>
      <c r="P6" s="87">
        <f>'State Agg Fuel Mix 2000-2017'!P15</f>
        <v>104431.29671593619</v>
      </c>
      <c r="Q6" s="87">
        <f>'State Agg Fuel Mix 2000-2017'!Q15</f>
        <v>133132</v>
      </c>
      <c r="R6" s="87">
        <f>'State Agg Fuel Mix 2000-2017'!R15</f>
        <v>148177</v>
      </c>
      <c r="S6" s="87">
        <f>'State Agg Fuel Mix 2000-2017'!S15</f>
        <v>121566</v>
      </c>
    </row>
    <row r="7" spans="1:19" s="82" customFormat="1" x14ac:dyDescent="0.3">
      <c r="A7" s="85" t="str">
        <f>'State Agg Fuel Mix 2000-2017'!A17</f>
        <v>Other</v>
      </c>
      <c r="B7" s="87">
        <f>'State Agg Fuel Mix 2000-2017'!B17</f>
        <v>0</v>
      </c>
      <c r="C7" s="87">
        <f>'State Agg Fuel Mix 2000-2017'!C17</f>
        <v>0</v>
      </c>
      <c r="D7" s="87">
        <f>'State Agg Fuel Mix 2000-2017'!D17</f>
        <v>233994.81</v>
      </c>
      <c r="E7" s="87">
        <f>'State Agg Fuel Mix 2000-2017'!E17</f>
        <v>6990.9359999999997</v>
      </c>
      <c r="F7" s="87">
        <f>'State Agg Fuel Mix 2000-2017'!F17</f>
        <v>37379</v>
      </c>
      <c r="G7" s="87">
        <f>'State Agg Fuel Mix 2000-2017'!G17</f>
        <v>31156</v>
      </c>
      <c r="H7" s="87">
        <f>'State Agg Fuel Mix 2000-2017'!H17</f>
        <v>10863.061</v>
      </c>
      <c r="I7" s="87">
        <f>'State Agg Fuel Mix 2000-2017'!I17</f>
        <v>12923.103999999999</v>
      </c>
      <c r="J7" s="87">
        <f>'State Agg Fuel Mix 2000-2017'!J17</f>
        <v>19390.588</v>
      </c>
      <c r="K7" s="87">
        <f>'State Agg Fuel Mix 2000-2017'!K17</f>
        <v>28649.909</v>
      </c>
      <c r="L7" s="87">
        <f>'State Agg Fuel Mix 2000-2017'!L17</f>
        <v>28504.384999999998</v>
      </c>
      <c r="M7" s="87">
        <f>'State Agg Fuel Mix 2000-2017'!M17</f>
        <v>27306.823</v>
      </c>
      <c r="N7" s="87">
        <f>'State Agg Fuel Mix 2000-2017'!N17</f>
        <v>36395.506999999998</v>
      </c>
      <c r="O7" s="87">
        <f>'State Agg Fuel Mix 2000-2017'!O17</f>
        <v>39528.330999999998</v>
      </c>
      <c r="P7" s="87">
        <f>'State Agg Fuel Mix 2000-2017'!P17</f>
        <v>59964.44435788547</v>
      </c>
      <c r="Q7" s="87">
        <f>'State Agg Fuel Mix 2000-2017'!Q17</f>
        <v>0</v>
      </c>
      <c r="R7" s="87">
        <f>'State Agg Fuel Mix 2000-2017'!R17</f>
        <v>48095</v>
      </c>
      <c r="S7" s="87">
        <f>'State Agg Fuel Mix 2000-2017'!S17</f>
        <v>36678</v>
      </c>
    </row>
    <row r="8" spans="1:19" s="82" customFormat="1" x14ac:dyDescent="0.3">
      <c r="A8" s="85" t="str">
        <f>'State Agg Fuel Mix 2000-2017'!A18</f>
        <v>Solar</v>
      </c>
      <c r="B8" s="87">
        <f>'State Agg Fuel Mix 2000-2017'!B18</f>
        <v>0</v>
      </c>
      <c r="C8" s="87">
        <f>'State Agg Fuel Mix 2000-2017'!C18</f>
        <v>0</v>
      </c>
      <c r="D8" s="87">
        <f>'State Agg Fuel Mix 2000-2017'!D18</f>
        <v>0</v>
      </c>
      <c r="E8" s="87">
        <f>'State Agg Fuel Mix 2000-2017'!E18</f>
        <v>0</v>
      </c>
      <c r="F8" s="87">
        <f>'State Agg Fuel Mix 2000-2017'!F18</f>
        <v>0</v>
      </c>
      <c r="G8" s="87">
        <f>'State Agg Fuel Mix 2000-2017'!G18</f>
        <v>0</v>
      </c>
      <c r="H8" s="87">
        <f>'State Agg Fuel Mix 2000-2017'!H18</f>
        <v>0</v>
      </c>
      <c r="I8" s="87">
        <f>'State Agg Fuel Mix 2000-2017'!I18</f>
        <v>0</v>
      </c>
      <c r="J8" s="87">
        <f>'State Agg Fuel Mix 2000-2017'!J18</f>
        <v>0</v>
      </c>
      <c r="K8" s="87">
        <f>'State Agg Fuel Mix 2000-2017'!K18</f>
        <v>0</v>
      </c>
      <c r="L8" s="87">
        <f>'State Agg Fuel Mix 2000-2017'!L18</f>
        <v>0</v>
      </c>
      <c r="M8" s="87">
        <f>'State Agg Fuel Mix 2000-2017'!M18</f>
        <v>0</v>
      </c>
      <c r="N8" s="87">
        <f>'State Agg Fuel Mix 2000-2017'!N18</f>
        <v>1433.0440000000001</v>
      </c>
      <c r="O8" s="87">
        <f>'State Agg Fuel Mix 2000-2017'!O18</f>
        <v>1709.0319999999999</v>
      </c>
      <c r="P8" s="87">
        <f>'State Agg Fuel Mix 2000-2017'!P18</f>
        <v>6618.384</v>
      </c>
      <c r="Q8" s="87">
        <f>'State Agg Fuel Mix 2000-2017'!Q18</f>
        <v>8807</v>
      </c>
      <c r="R8" s="87">
        <f>'State Agg Fuel Mix 2000-2017'!R18</f>
        <v>3491</v>
      </c>
      <c r="S8" s="87">
        <f>'State Agg Fuel Mix 2000-2017'!S18</f>
        <v>3071</v>
      </c>
    </row>
    <row r="9" spans="1:19" s="82" customFormat="1" x14ac:dyDescent="0.3">
      <c r="A9" s="85" t="str">
        <f>'State Agg Fuel Mix 2000-2017'!A14</f>
        <v xml:space="preserve">Geothermal </v>
      </c>
      <c r="B9" s="87">
        <f>'State Agg Fuel Mix 2000-2017'!B14</f>
        <v>143024.29999999999</v>
      </c>
      <c r="C9" s="87">
        <f>'State Agg Fuel Mix 2000-2017'!C14</f>
        <v>158779</v>
      </c>
      <c r="D9" s="87">
        <f>'State Agg Fuel Mix 2000-2017'!D14</f>
        <v>0</v>
      </c>
      <c r="E9" s="87">
        <f>'State Agg Fuel Mix 2000-2017'!E14</f>
        <v>0</v>
      </c>
      <c r="F9" s="87">
        <f>'State Agg Fuel Mix 2000-2017'!F14</f>
        <v>0</v>
      </c>
      <c r="G9" s="87">
        <f>'State Agg Fuel Mix 2000-2017'!G14</f>
        <v>0</v>
      </c>
      <c r="H9" s="87">
        <f>'State Agg Fuel Mix 2000-2017'!H14</f>
        <v>14399.46</v>
      </c>
      <c r="I9" s="87">
        <f>'State Agg Fuel Mix 2000-2017'!I14</f>
        <v>11189.054</v>
      </c>
      <c r="J9" s="87">
        <f>'State Agg Fuel Mix 2000-2017'!J14</f>
        <v>16865.677</v>
      </c>
      <c r="K9" s="87">
        <f>'State Agg Fuel Mix 2000-2017'!K14</f>
        <v>19237.288</v>
      </c>
      <c r="L9" s="87">
        <f>'State Agg Fuel Mix 2000-2017'!L14</f>
        <v>17375.66</v>
      </c>
      <c r="M9" s="87">
        <f>'State Agg Fuel Mix 2000-2017'!M14</f>
        <v>18107.003000000001</v>
      </c>
      <c r="N9" s="87">
        <f>'State Agg Fuel Mix 2000-2017'!N14</f>
        <v>17003.18</v>
      </c>
      <c r="O9" s="87">
        <f>'State Agg Fuel Mix 2000-2017'!O14</f>
        <v>16138.138999999999</v>
      </c>
      <c r="P9" s="87">
        <f>'State Agg Fuel Mix 2000-2017'!P14</f>
        <v>17911.256000000001</v>
      </c>
      <c r="Q9" s="87">
        <f>'State Agg Fuel Mix 2000-2017'!Q14</f>
        <v>16085</v>
      </c>
      <c r="R9" s="87">
        <f>'State Agg Fuel Mix 2000-2017'!R14</f>
        <v>0</v>
      </c>
      <c r="S9" s="87">
        <f>'State Agg Fuel Mix 2000-2017'!S14</f>
        <v>0</v>
      </c>
    </row>
    <row r="10" spans="1:19" s="82" customFormat="1" x14ac:dyDescent="0.3">
      <c r="A10" s="85" t="str">
        <f>'State Agg Fuel Mix 2000-2017'!A13</f>
        <v xml:space="preserve">Waste </v>
      </c>
      <c r="B10" s="87">
        <f>'State Agg Fuel Mix 2000-2017'!B13</f>
        <v>159888</v>
      </c>
      <c r="C10" s="87">
        <f>'State Agg Fuel Mix 2000-2017'!C13</f>
        <v>236666</v>
      </c>
      <c r="D10" s="87">
        <f>'State Agg Fuel Mix 2000-2017'!D13</f>
        <v>23471.302</v>
      </c>
      <c r="E10" s="87">
        <f>'State Agg Fuel Mix 2000-2017'!E13</f>
        <v>139056.421</v>
      </c>
      <c r="F10" s="87">
        <f>'State Agg Fuel Mix 2000-2017'!F13</f>
        <v>102864</v>
      </c>
      <c r="G10" s="87">
        <f>'State Agg Fuel Mix 2000-2017'!G13</f>
        <v>150955</v>
      </c>
      <c r="H10" s="87">
        <f>'State Agg Fuel Mix 2000-2017'!H13</f>
        <v>331963</v>
      </c>
      <c r="I10" s="87">
        <f>'State Agg Fuel Mix 2000-2017'!I13</f>
        <v>288528</v>
      </c>
      <c r="J10" s="87">
        <f>'State Agg Fuel Mix 2000-2017'!J13</f>
        <v>276668.90399999998</v>
      </c>
      <c r="K10" s="87">
        <f>'State Agg Fuel Mix 2000-2017'!K13</f>
        <v>296179.5</v>
      </c>
      <c r="L10" s="87">
        <f>'State Agg Fuel Mix 2000-2017'!L13</f>
        <v>332719.18699999998</v>
      </c>
      <c r="M10" s="87">
        <f>'State Agg Fuel Mix 2000-2017'!M13</f>
        <v>336947.68099999998</v>
      </c>
      <c r="N10" s="87">
        <f>'State Agg Fuel Mix 2000-2017'!N13</f>
        <v>303066.17</v>
      </c>
      <c r="O10" s="87">
        <f>'State Agg Fuel Mix 2000-2017'!O13</f>
        <v>221914.345</v>
      </c>
      <c r="P10" s="87">
        <f>'State Agg Fuel Mix 2000-2017'!P13</f>
        <v>203960.34999549703</v>
      </c>
      <c r="Q10" s="87">
        <f>'State Agg Fuel Mix 2000-2017'!Q13</f>
        <v>158887</v>
      </c>
      <c r="R10" s="87">
        <f>'State Agg Fuel Mix 2000-2017'!R13</f>
        <v>110699</v>
      </c>
      <c r="S10" s="87">
        <f>'State Agg Fuel Mix 2000-2017'!S13</f>
        <v>172753</v>
      </c>
    </row>
    <row r="11" spans="1:19" s="82" customFormat="1" x14ac:dyDescent="0.3">
      <c r="A11" s="85" t="str">
        <f>'State Agg Fuel Mix 2000-2017'!A12</f>
        <v xml:space="preserve">Petroleum </v>
      </c>
      <c r="B11" s="87">
        <f>'State Agg Fuel Mix 2000-2017'!B12</f>
        <v>401383.21</v>
      </c>
      <c r="C11" s="87">
        <f>'State Agg Fuel Mix 2000-2017'!C12</f>
        <v>489650</v>
      </c>
      <c r="D11" s="87">
        <f>'State Agg Fuel Mix 2000-2017'!D12</f>
        <v>22244.172999999999</v>
      </c>
      <c r="E11" s="87">
        <f>'State Agg Fuel Mix 2000-2017'!E12</f>
        <v>34956.951999999997</v>
      </c>
      <c r="F11" s="87">
        <f>'State Agg Fuel Mix 2000-2017'!F12</f>
        <v>53046</v>
      </c>
      <c r="G11" s="87">
        <f>'State Agg Fuel Mix 2000-2017'!G12</f>
        <v>44233</v>
      </c>
      <c r="H11" s="87">
        <f>'State Agg Fuel Mix 2000-2017'!H12</f>
        <v>62231.714</v>
      </c>
      <c r="I11" s="87">
        <f>'State Agg Fuel Mix 2000-2017'!I12</f>
        <v>69267.262000000002</v>
      </c>
      <c r="J11" s="87">
        <f>'State Agg Fuel Mix 2000-2017'!J12</f>
        <v>69936.697</v>
      </c>
      <c r="K11" s="87">
        <f>'State Agg Fuel Mix 2000-2017'!K12</f>
        <v>94360.441000000006</v>
      </c>
      <c r="L11" s="87">
        <f>'State Agg Fuel Mix 2000-2017'!L12</f>
        <v>81372.403000000006</v>
      </c>
      <c r="M11" s="87">
        <f>'State Agg Fuel Mix 2000-2017'!M12</f>
        <v>68539.483999999997</v>
      </c>
      <c r="N11" s="87">
        <f>'State Agg Fuel Mix 2000-2017'!N12</f>
        <v>67579.567999999999</v>
      </c>
      <c r="O11" s="87">
        <f>'State Agg Fuel Mix 2000-2017'!O12</f>
        <v>64611.319000000003</v>
      </c>
      <c r="P11" s="87">
        <f>'State Agg Fuel Mix 2000-2017'!P12</f>
        <v>59674.446021880045</v>
      </c>
      <c r="Q11" s="87">
        <f>'State Agg Fuel Mix 2000-2017'!Q12</f>
        <v>47108</v>
      </c>
      <c r="R11" s="87">
        <f>'State Agg Fuel Mix 2000-2017'!R12</f>
        <v>61888</v>
      </c>
      <c r="S11" s="87">
        <f>'State Agg Fuel Mix 2000-2017'!S12</f>
        <v>103244</v>
      </c>
    </row>
    <row r="12" spans="1:19" s="82" customFormat="1" x14ac:dyDescent="0.3">
      <c r="A12" s="85" t="s">
        <v>74</v>
      </c>
      <c r="B12" s="87">
        <f>'State Agg Fuel Mix 2000-2017'!B18</f>
        <v>0</v>
      </c>
      <c r="C12" s="87">
        <f>'State Agg Fuel Mix 2000-2017'!C18</f>
        <v>0</v>
      </c>
      <c r="D12" s="87">
        <f>'State Agg Fuel Mix 2000-2017'!D18</f>
        <v>0</v>
      </c>
      <c r="E12" s="87">
        <f>'State Agg Fuel Mix 2000-2017'!E18</f>
        <v>0</v>
      </c>
      <c r="F12" s="87">
        <f>'State Agg Fuel Mix 2000-2017'!F18</f>
        <v>0</v>
      </c>
      <c r="G12" s="87">
        <f>'State Agg Fuel Mix 2000-2017'!G18</f>
        <v>0</v>
      </c>
      <c r="H12" s="87">
        <f>'State Agg Fuel Mix 2000-2017'!H18</f>
        <v>0</v>
      </c>
      <c r="I12" s="87">
        <f>'State Agg Fuel Mix 2000-2017'!I18</f>
        <v>0</v>
      </c>
      <c r="J12" s="87">
        <f>'State Agg Fuel Mix 2000-2017'!J18</f>
        <v>0</v>
      </c>
      <c r="K12" s="87">
        <f>'State Agg Fuel Mix 2000-2017'!K18</f>
        <v>0</v>
      </c>
      <c r="L12" s="87">
        <f>'State Agg Fuel Mix 2000-2017'!L18</f>
        <v>0</v>
      </c>
      <c r="M12" s="87">
        <f>'State Agg Fuel Mix 2000-2017'!M18</f>
        <v>0</v>
      </c>
      <c r="N12" s="87"/>
      <c r="O12" s="87"/>
      <c r="P12" s="87"/>
      <c r="Q12" s="87"/>
      <c r="R12" s="87"/>
      <c r="S12" s="87"/>
    </row>
    <row r="13" spans="1:19" s="82" customFormat="1" x14ac:dyDescent="0.3">
      <c r="A13" s="85" t="s">
        <v>75</v>
      </c>
      <c r="B13" s="87">
        <f>'State Agg Fuel Mix 2000-2017'!B18</f>
        <v>0</v>
      </c>
      <c r="C13" s="87">
        <f>'State Agg Fuel Mix 2000-2017'!C18</f>
        <v>0</v>
      </c>
      <c r="D13" s="87">
        <f>'State Agg Fuel Mix 2000-2017'!D18</f>
        <v>0</v>
      </c>
      <c r="E13" s="87">
        <f>'State Agg Fuel Mix 2000-2017'!E18</f>
        <v>0</v>
      </c>
      <c r="F13" s="87">
        <f>'State Agg Fuel Mix 2000-2017'!F18</f>
        <v>0</v>
      </c>
      <c r="G13" s="87">
        <f>'State Agg Fuel Mix 2000-2017'!G18</f>
        <v>0</v>
      </c>
      <c r="H13" s="87">
        <f>'State Agg Fuel Mix 2000-2017'!H18</f>
        <v>0</v>
      </c>
      <c r="I13" s="87">
        <f>'State Agg Fuel Mix 2000-2017'!I18</f>
        <v>0</v>
      </c>
      <c r="J13" s="87">
        <f>'State Agg Fuel Mix 2000-2017'!J18</f>
        <v>0</v>
      </c>
      <c r="K13" s="87">
        <f>'State Agg Fuel Mix 2000-2017'!K18</f>
        <v>0</v>
      </c>
      <c r="L13" s="87">
        <f>'State Agg Fuel Mix 2000-2017'!L18</f>
        <v>0</v>
      </c>
      <c r="M13" s="87">
        <f>'State Agg Fuel Mix 2000-2017'!M18</f>
        <v>0</v>
      </c>
      <c r="N13" s="87"/>
      <c r="O13" s="87"/>
      <c r="P13" s="87"/>
      <c r="Q13" s="87"/>
      <c r="R13" s="87"/>
      <c r="S13" s="87"/>
    </row>
    <row r="14" spans="1:19" s="82" customFormat="1" x14ac:dyDescent="0.3">
      <c r="A14" s="85" t="s">
        <v>73</v>
      </c>
      <c r="B14" s="87">
        <f>'State Agg Fuel Mix 2000-2017'!B18</f>
        <v>0</v>
      </c>
      <c r="C14" s="87">
        <f>'State Agg Fuel Mix 2000-2017'!C18</f>
        <v>0</v>
      </c>
      <c r="D14" s="87">
        <f>'State Agg Fuel Mix 2000-2017'!D18</f>
        <v>0</v>
      </c>
      <c r="E14" s="87">
        <f>'State Agg Fuel Mix 2000-2017'!E18</f>
        <v>0</v>
      </c>
      <c r="F14" s="87">
        <f>'State Agg Fuel Mix 2000-2017'!F18</f>
        <v>0</v>
      </c>
      <c r="G14" s="87">
        <f>'State Agg Fuel Mix 2000-2017'!G18</f>
        <v>0</v>
      </c>
      <c r="H14" s="87">
        <f>'State Agg Fuel Mix 2000-2017'!H18</f>
        <v>0</v>
      </c>
      <c r="I14" s="87">
        <f>'State Agg Fuel Mix 2000-2017'!I18</f>
        <v>0</v>
      </c>
      <c r="J14" s="87">
        <f>'State Agg Fuel Mix 2000-2017'!J18</f>
        <v>0</v>
      </c>
      <c r="K14" s="87">
        <f>'State Agg Fuel Mix 2000-2017'!K18</f>
        <v>0</v>
      </c>
      <c r="L14" s="87">
        <f>'State Agg Fuel Mix 2000-2017'!L18</f>
        <v>0</v>
      </c>
      <c r="M14" s="87">
        <f>'State Agg Fuel Mix 2000-2017'!M18</f>
        <v>0</v>
      </c>
      <c r="N14" s="87"/>
      <c r="O14" s="87"/>
      <c r="P14" s="87"/>
      <c r="Q14" s="87"/>
      <c r="R14" s="87"/>
      <c r="S14" s="87"/>
    </row>
    <row r="15" spans="1:19" s="82" customFormat="1" x14ac:dyDescent="0.3">
      <c r="A15" s="85" t="str">
        <f>'State Agg Fuel Mix 2000-2017'!A11</f>
        <v xml:space="preserve">Biomass </v>
      </c>
      <c r="B15" s="87">
        <f>'State Agg Fuel Mix 2000-2017'!B11</f>
        <v>1100469.01</v>
      </c>
      <c r="C15" s="87">
        <f>'State Agg Fuel Mix 2000-2017'!C11</f>
        <v>937515</v>
      </c>
      <c r="D15" s="87">
        <f>'State Agg Fuel Mix 2000-2017'!D11</f>
        <v>392378.42499999999</v>
      </c>
      <c r="E15" s="87">
        <f>'State Agg Fuel Mix 2000-2017'!E11</f>
        <v>434699.94699999999</v>
      </c>
      <c r="F15" s="87">
        <f>'State Agg Fuel Mix 2000-2017'!F11</f>
        <v>536643</v>
      </c>
      <c r="G15" s="87">
        <f>'State Agg Fuel Mix 2000-2017'!G11</f>
        <v>587085</v>
      </c>
      <c r="H15" s="87">
        <f>'State Agg Fuel Mix 2000-2017'!H11</f>
        <v>392712</v>
      </c>
      <c r="I15" s="87">
        <f>'State Agg Fuel Mix 2000-2017'!I11</f>
        <v>460983</v>
      </c>
      <c r="J15" s="87">
        <f>'State Agg Fuel Mix 2000-2017'!J11</f>
        <v>415225.78</v>
      </c>
      <c r="K15" s="87">
        <f>'State Agg Fuel Mix 2000-2017'!K11</f>
        <v>445076.39799999999</v>
      </c>
      <c r="L15" s="87">
        <f>'State Agg Fuel Mix 2000-2017'!L11</f>
        <v>492371.446</v>
      </c>
      <c r="M15" s="87">
        <f>'State Agg Fuel Mix 2000-2017'!M11</f>
        <v>446889.57799999998</v>
      </c>
      <c r="N15" s="87">
        <f>'State Agg Fuel Mix 2000-2017'!N11</f>
        <v>310811.728</v>
      </c>
      <c r="O15" s="87">
        <f>'State Agg Fuel Mix 2000-2017'!O11</f>
        <v>260972.201</v>
      </c>
      <c r="P15" s="87">
        <f>'State Agg Fuel Mix 2000-2017'!P11</f>
        <v>300416.39194897329</v>
      </c>
      <c r="Q15" s="87">
        <f>'State Agg Fuel Mix 2000-2017'!Q11</f>
        <v>401408</v>
      </c>
      <c r="R15" s="87">
        <f>'State Agg Fuel Mix 2000-2017'!R11</f>
        <v>675649</v>
      </c>
      <c r="S15" s="87">
        <f>'State Agg Fuel Mix 2000-2017'!S11</f>
        <v>562311</v>
      </c>
    </row>
    <row r="16" spans="1:19" s="82" customFormat="1" x14ac:dyDescent="0.3">
      <c r="A16" s="85" t="str">
        <f>'State Agg Fuel Mix 2000-2017'!A16</f>
        <v xml:space="preserve">Wind </v>
      </c>
      <c r="B16" s="87">
        <f>'State Agg Fuel Mix 2000-2017'!B16</f>
        <v>0</v>
      </c>
      <c r="C16" s="87">
        <f>'State Agg Fuel Mix 2000-2017'!C16</f>
        <v>23822</v>
      </c>
      <c r="D16" s="87">
        <f>'State Agg Fuel Mix 2000-2017'!D16</f>
        <v>163134.48000000001</v>
      </c>
      <c r="E16" s="87">
        <f>'State Agg Fuel Mix 2000-2017'!E16</f>
        <v>320539.98700000002</v>
      </c>
      <c r="F16" s="87">
        <f>'State Agg Fuel Mix 2000-2017'!F16</f>
        <v>346470</v>
      </c>
      <c r="G16" s="87">
        <f>'State Agg Fuel Mix 2000-2017'!G16</f>
        <v>432667</v>
      </c>
      <c r="H16" s="87">
        <f>'State Agg Fuel Mix 2000-2017'!H16</f>
        <v>867392</v>
      </c>
      <c r="I16" s="87">
        <f>'State Agg Fuel Mix 2000-2017'!I16</f>
        <v>545622</v>
      </c>
      <c r="J16" s="87">
        <f>'State Agg Fuel Mix 2000-2017'!J16</f>
        <v>1010928</v>
      </c>
      <c r="K16" s="87">
        <f>'State Agg Fuel Mix 2000-2017'!K16</f>
        <v>587994</v>
      </c>
      <c r="L16" s="87">
        <f>'State Agg Fuel Mix 2000-2017'!L16</f>
        <v>567280.99399999995</v>
      </c>
      <c r="M16" s="87">
        <f>'State Agg Fuel Mix 2000-2017'!M16</f>
        <v>1017701.777</v>
      </c>
      <c r="N16" s="87">
        <f>'State Agg Fuel Mix 2000-2017'!N16</f>
        <v>3011137.4070000001</v>
      </c>
      <c r="O16" s="87">
        <f>'State Agg Fuel Mix 2000-2017'!O16</f>
        <v>2859414.9079999998</v>
      </c>
      <c r="P16" s="87">
        <f>'State Agg Fuel Mix 2000-2017'!P16</f>
        <v>2219612.94</v>
      </c>
      <c r="Q16" s="87">
        <f>'State Agg Fuel Mix 2000-2017'!Q16</f>
        <v>2029032</v>
      </c>
      <c r="R16" s="87">
        <f>'State Agg Fuel Mix 2000-2017'!R16</f>
        <v>3661267</v>
      </c>
      <c r="S16" s="87">
        <f>'State Agg Fuel Mix 2000-2017'!S16</f>
        <v>2674081</v>
      </c>
    </row>
    <row r="17" spans="1:19" s="82" customFormat="1" x14ac:dyDescent="0.3">
      <c r="A17" s="85" t="str">
        <f>'State Agg Fuel Mix 2000-2017'!A10</f>
        <v xml:space="preserve">Nuclear </v>
      </c>
      <c r="B17" s="87">
        <f>'State Agg Fuel Mix 2000-2017'!B10</f>
        <v>4285939.1500000004</v>
      </c>
      <c r="C17" s="87">
        <f>'State Agg Fuel Mix 2000-2017'!C10</f>
        <v>3975371</v>
      </c>
      <c r="D17" s="87">
        <f>'State Agg Fuel Mix 2000-2017'!D10</f>
        <v>3858715.5279999999</v>
      </c>
      <c r="E17" s="87">
        <f>'State Agg Fuel Mix 2000-2017'!E10</f>
        <v>3726175.2439999999</v>
      </c>
      <c r="F17" s="87">
        <f>'State Agg Fuel Mix 2000-2017'!F10</f>
        <v>4591072</v>
      </c>
      <c r="G17" s="87">
        <f>'State Agg Fuel Mix 2000-2017'!G10</f>
        <v>4403537</v>
      </c>
      <c r="H17" s="87">
        <f>'State Agg Fuel Mix 2000-2017'!H10</f>
        <v>4513216</v>
      </c>
      <c r="I17" s="87">
        <f>'State Agg Fuel Mix 2000-2017'!I10</f>
        <v>4326265</v>
      </c>
      <c r="J17" s="87">
        <f>'State Agg Fuel Mix 2000-2017'!J10</f>
        <v>5083665</v>
      </c>
      <c r="K17" s="87">
        <f>'State Agg Fuel Mix 2000-2017'!K10</f>
        <v>3653541</v>
      </c>
      <c r="L17" s="87">
        <f>'State Agg Fuel Mix 2000-2017'!L10</f>
        <v>5430617.4440000001</v>
      </c>
      <c r="M17" s="87">
        <f>'State Agg Fuel Mix 2000-2017'!M10</f>
        <v>2390244.5189999999</v>
      </c>
      <c r="N17" s="87">
        <f>'State Agg Fuel Mix 2000-2017'!N10</f>
        <v>4239397.852</v>
      </c>
      <c r="O17" s="87">
        <f>'State Agg Fuel Mix 2000-2017'!O10</f>
        <v>4247504.0990000004</v>
      </c>
      <c r="P17" s="87">
        <f>'State Agg Fuel Mix 2000-2017'!P10</f>
        <v>4617390.9954746496</v>
      </c>
      <c r="Q17" s="87">
        <f>'State Agg Fuel Mix 2000-2017'!Q10</f>
        <v>4021955</v>
      </c>
      <c r="R17" s="87">
        <f>'State Agg Fuel Mix 2000-2017'!R10</f>
        <v>4308647</v>
      </c>
      <c r="S17" s="87">
        <f>'State Agg Fuel Mix 2000-2017'!S10</f>
        <v>3941745</v>
      </c>
    </row>
    <row r="18" spans="1:19" s="82" customFormat="1" x14ac:dyDescent="0.3">
      <c r="A18" s="85" t="str">
        <f>'State Agg Fuel Mix 2000-2017'!A9</f>
        <v xml:space="preserve">Natural Gas </v>
      </c>
      <c r="B18" s="87">
        <f>Table1[[#This Row],[2000]]+'State Agg Fuel Mix 2000-2017'!B9</f>
        <v>5343539.3499999996</v>
      </c>
      <c r="C18" s="87">
        <f>Table1[[#This Row],[2001]]+'State Agg Fuel Mix 2000-2017'!C9</f>
        <v>5908568</v>
      </c>
      <c r="D18" s="87">
        <f>Table1[[#This Row],[2002]]+'State Agg Fuel Mix 2000-2017'!D9</f>
        <v>2634327.7779999999</v>
      </c>
      <c r="E18" s="87">
        <f>Table1[[#This Row],[2003]]+'State Agg Fuel Mix 2000-2017'!E9</f>
        <v>4370727.642</v>
      </c>
      <c r="F18" s="87">
        <f>Table1[[#This Row],[2004]]+'State Agg Fuel Mix 2000-2017'!F9</f>
        <v>4662035.2149999999</v>
      </c>
      <c r="G18" s="87">
        <f>Table1[[#This Row],[2005]]+'State Agg Fuel Mix 2000-2017'!G9</f>
        <v>5325475</v>
      </c>
      <c r="H18" s="87">
        <f>Table1[[#This Row],[2006]]+'State Agg Fuel Mix 2000-2017'!H9</f>
        <v>4553446.5609999998</v>
      </c>
      <c r="I18" s="87">
        <f>Table1[[#This Row],[2007]]+'State Agg Fuel Mix 2000-2017'!I9</f>
        <v>6302442.1100000003</v>
      </c>
      <c r="J18" s="87">
        <f>Table1[[#This Row],[2008]]+'State Agg Fuel Mix 2000-2017'!J9</f>
        <v>7385757.4419999998</v>
      </c>
      <c r="K18" s="87">
        <f>Table1[[#This Row],[2009]]+'State Agg Fuel Mix 2000-2017'!K9</f>
        <v>9979345.0020000003</v>
      </c>
      <c r="L18" s="87">
        <f>Table1[[#This Row],[2010]]+'State Agg Fuel Mix 2000-2017'!L9</f>
        <v>10476257.187000001</v>
      </c>
      <c r="M18" s="87">
        <f>Table1[[#This Row],[2011]]+'State Agg Fuel Mix 2000-2017'!M9</f>
        <v>5684222.966</v>
      </c>
      <c r="N18" s="87">
        <f>Table1[[#This Row],[2012]]+'State Agg Fuel Mix 2000-2017'!N9</f>
        <v>6954310.3679999998</v>
      </c>
      <c r="O18" s="87">
        <f>Table1[[#This Row],[2013]]+'State Agg Fuel Mix 2000-2017'!O9</f>
        <v>10824984.355999999</v>
      </c>
      <c r="P18" s="87">
        <f>Table1[[#This Row],[2014]]+'State Agg Fuel Mix 2000-2017'!P9</f>
        <v>9522410.8747281469</v>
      </c>
      <c r="Q18" s="87">
        <f>Table1[[#This Row],[2014]]+'State Agg Fuel Mix 2000-2017'!Q9</f>
        <v>11814453.384</v>
      </c>
      <c r="R18" s="87">
        <f>Table1[[#This Row],[2014]]+'State Agg Fuel Mix 2000-2017'!R9</f>
        <v>9943729.3839999996</v>
      </c>
      <c r="S18" s="87">
        <f>Table1[[#This Row],[2014]]+'State Agg Fuel Mix 2000-2017'!S9</f>
        <v>10188498.384</v>
      </c>
    </row>
    <row r="19" spans="1:19" s="82" customFormat="1" x14ac:dyDescent="0.3">
      <c r="A19" s="85" t="str">
        <f>'State Agg Fuel Mix 2000-2017'!A7</f>
        <v xml:space="preserve">Coal </v>
      </c>
      <c r="B19" s="87">
        <f>'State Agg Fuel Mix 2000-2017'!B7</f>
        <v>16243438.27</v>
      </c>
      <c r="C19" s="87">
        <f>'State Agg Fuel Mix 2000-2017'!C7</f>
        <v>13247976</v>
      </c>
      <c r="D19" s="87">
        <f>'State Agg Fuel Mix 2000-2017'!D7</f>
        <v>10076411.603</v>
      </c>
      <c r="E19" s="87">
        <f>'State Agg Fuel Mix 2000-2017'!E7</f>
        <v>14336264.477</v>
      </c>
      <c r="F19" s="87">
        <f>'State Agg Fuel Mix 2000-2017'!F7</f>
        <v>14459001</v>
      </c>
      <c r="G19" s="87">
        <f>'State Agg Fuel Mix 2000-2017'!G7</f>
        <v>14860017</v>
      </c>
      <c r="H19" s="87">
        <f>'State Agg Fuel Mix 2000-2017'!H7</f>
        <v>14245188</v>
      </c>
      <c r="I19" s="87">
        <f>'State Agg Fuel Mix 2000-2017'!I7</f>
        <v>14866637</v>
      </c>
      <c r="J19" s="87">
        <f>'State Agg Fuel Mix 2000-2017'!J7</f>
        <v>15034912</v>
      </c>
      <c r="K19" s="87">
        <f>'State Agg Fuel Mix 2000-2017'!K7</f>
        <v>14672973</v>
      </c>
      <c r="L19" s="87">
        <f>'State Agg Fuel Mix 2000-2017'!L7</f>
        <v>15955167.881999999</v>
      </c>
      <c r="M19" s="87">
        <f>'State Agg Fuel Mix 2000-2017'!M7</f>
        <v>12900636.259</v>
      </c>
      <c r="N19" s="87">
        <f>'State Agg Fuel Mix 2000-2017'!N7</f>
        <v>12149258.443</v>
      </c>
      <c r="O19" s="87">
        <f>'State Agg Fuel Mix 2000-2017'!O7</f>
        <v>13519851.679</v>
      </c>
      <c r="P19" s="87">
        <f>'State Agg Fuel Mix 2000-2017'!P7</f>
        <v>14026539.562654842</v>
      </c>
      <c r="Q19" s="87">
        <f>'State Agg Fuel Mix 2000-2017'!Q7</f>
        <v>14388993</v>
      </c>
      <c r="R19" s="87">
        <f>'State Agg Fuel Mix 2000-2017'!R7</f>
        <v>12799782</v>
      </c>
      <c r="S19" s="87">
        <f>'State Agg Fuel Mix 2000-2017'!S7</f>
        <v>12593438</v>
      </c>
    </row>
    <row r="20" spans="1:19" s="82" customFormat="1" x14ac:dyDescent="0.3">
      <c r="A20" s="85" t="str">
        <f>'State Agg Fuel Mix 2000-2017'!A6</f>
        <v>Hydropwer</v>
      </c>
      <c r="B20" s="87">
        <f>'State Agg Fuel Mix 2000-2017'!B6</f>
        <v>67889833.989999995</v>
      </c>
      <c r="C20" s="87">
        <f>'State Agg Fuel Mix 2000-2017'!C6</f>
        <v>45853455</v>
      </c>
      <c r="D20" s="87">
        <f>'State Agg Fuel Mix 2000-2017'!D6</f>
        <v>56339641.008000001</v>
      </c>
      <c r="E20" s="87">
        <f>'State Agg Fuel Mix 2000-2017'!E6</f>
        <v>53850477.776000001</v>
      </c>
      <c r="F20" s="87">
        <f>'State Agg Fuel Mix 2000-2017'!F6</f>
        <v>54132176</v>
      </c>
      <c r="G20" s="87">
        <f>'State Agg Fuel Mix 2000-2017'!G6</f>
        <v>55342273</v>
      </c>
      <c r="H20" s="87">
        <f>'State Agg Fuel Mix 2000-2017'!H6</f>
        <v>59609529</v>
      </c>
      <c r="I20" s="87">
        <f>'State Agg Fuel Mix 2000-2017'!I6</f>
        <v>59203647</v>
      </c>
      <c r="J20" s="87">
        <f>'State Agg Fuel Mix 2000-2017'!J6</f>
        <v>58235550</v>
      </c>
      <c r="K20" s="87">
        <f>'State Agg Fuel Mix 2000-2017'!K6</f>
        <v>57214771</v>
      </c>
      <c r="L20" s="87">
        <f>'State Agg Fuel Mix 2000-2017'!L6</f>
        <v>53412120.715000004</v>
      </c>
      <c r="M20" s="87">
        <f>'State Agg Fuel Mix 2000-2017'!M6</f>
        <v>66847396.575000003</v>
      </c>
      <c r="N20" s="87">
        <f>'State Agg Fuel Mix 2000-2017'!N6</f>
        <v>62984536.362000003</v>
      </c>
      <c r="O20" s="87">
        <f>'State Agg Fuel Mix 2000-2017'!O6</f>
        <v>58074493.126000002</v>
      </c>
      <c r="P20" s="87">
        <f>'State Agg Fuel Mix 2000-2017'!P6</f>
        <v>59723804.568102188</v>
      </c>
      <c r="Q20" s="87">
        <f>'State Agg Fuel Mix 2000-2017'!Q6</f>
        <v>55306859</v>
      </c>
      <c r="R20" s="87">
        <f>'State Agg Fuel Mix 2000-2017'!R6</f>
        <v>55697796</v>
      </c>
      <c r="S20" s="87">
        <f>'State Agg Fuel Mix 2000-2017'!S6</f>
        <v>63644891</v>
      </c>
    </row>
    <row r="21" spans="1:19" s="84" customFormat="1" x14ac:dyDescent="0.3">
      <c r="A21" s="85" t="str">
        <f>'State Agg Fuel Mix 2000-2017'!A19</f>
        <v>Total</v>
      </c>
      <c r="B21" s="179">
        <f>'State Agg Fuel Mix 2000-2017'!B19</f>
        <v>101064948.27999999</v>
      </c>
      <c r="C21" s="179">
        <f>'State Agg Fuel Mix 2000-2017'!C19</f>
        <v>76857334</v>
      </c>
      <c r="D21" s="179">
        <f>'State Agg Fuel Mix 2000-2017'!D19</f>
        <v>77936775.386999995</v>
      </c>
      <c r="E21" s="179">
        <f>'State Agg Fuel Mix 2000-2017'!E19</f>
        <v>80885507.387000024</v>
      </c>
      <c r="F21" s="179">
        <f>'State Agg Fuel Mix 2000-2017'!F19</f>
        <v>81772128.794</v>
      </c>
      <c r="G21" s="179">
        <f>'State Agg Fuel Mix 2000-2017'!G19</f>
        <v>83918558</v>
      </c>
      <c r="H21" s="179">
        <f>'State Agg Fuel Mix 2000-2017'!H19</f>
        <v>87425313.256999999</v>
      </c>
      <c r="I21" s="179">
        <f>'State Agg Fuel Mix 2000-2017'!I19</f>
        <v>88293846.042999998</v>
      </c>
      <c r="J21" s="179">
        <f>'State Agg Fuel Mix 2000-2017'!J19</f>
        <v>89207239.277999997</v>
      </c>
      <c r="K21" s="179">
        <f>'State Agg Fuel Mix 2000-2017'!K19</f>
        <v>88875540.685000002</v>
      </c>
      <c r="L21" s="179">
        <f>'State Agg Fuel Mix 2000-2017'!L19</f>
        <v>88544302.616000026</v>
      </c>
      <c r="M21" s="179">
        <f>'State Agg Fuel Mix 2000-2017'!M19</f>
        <v>91106256.892999992</v>
      </c>
      <c r="N21" s="179">
        <f>'State Agg Fuel Mix 2000-2017'!N19</f>
        <v>90643770.502000019</v>
      </c>
      <c r="O21" s="179">
        <f>'State Agg Fuel Mix 2000-2017'!O19</f>
        <v>91316668.83100003</v>
      </c>
      <c r="P21" s="179">
        <f>'State Agg Fuel Mix 2000-2017'!P19</f>
        <v>91782808.219999999</v>
      </c>
      <c r="Q21" s="179">
        <f>'State Agg Fuel Mix 2000-2017'!Q19</f>
        <v>88320101</v>
      </c>
      <c r="R21" s="179">
        <f>'State Agg Fuel Mix 2000-2017'!R19</f>
        <v>87452602</v>
      </c>
      <c r="S21" s="179">
        <f>'State Agg Fuel Mix 2000-2017'!S19</f>
        <v>94035658</v>
      </c>
    </row>
    <row r="23" spans="1:19" x14ac:dyDescent="0.3">
      <c r="A23" s="78" t="str">
        <f>'State Agg Fuel Mix 2000-2017'!A21</f>
        <v>Notes:</v>
      </c>
    </row>
    <row r="25" spans="1:19" x14ac:dyDescent="0.3">
      <c r="A25" s="78" t="str">
        <f>'State Agg Fuel Mix 2000-2017'!A23</f>
        <v>The “Other” fuel category consists of fuel remaining after categories listed in fuel mix disclosure legislation have been matched with reported categories. It contains: blast furnace gas, other biomass gas such as digester gas and methane, and purchased steam.</v>
      </c>
    </row>
    <row r="26" spans="1:19" x14ac:dyDescent="0.3">
      <c r="A26" s="78" t="s">
        <v>59</v>
      </c>
    </row>
    <row r="28" spans="1:19" x14ac:dyDescent="0.3">
      <c r="A28" s="78" t="s">
        <v>60</v>
      </c>
    </row>
    <row r="30" spans="1:19" ht="15.6" x14ac:dyDescent="0.3">
      <c r="A30" s="117" t="s">
        <v>68</v>
      </c>
    </row>
    <row r="31" spans="1:19" ht="15.6" x14ac:dyDescent="0.3">
      <c r="A31" s="117" t="s">
        <v>69</v>
      </c>
    </row>
    <row r="32" spans="1:19" ht="15.6" x14ac:dyDescent="0.3">
      <c r="A32" s="117" t="s">
        <v>70</v>
      </c>
    </row>
    <row r="33" spans="1:1" ht="15.6" x14ac:dyDescent="0.3">
      <c r="A33" s="117" t="s">
        <v>71</v>
      </c>
    </row>
    <row r="34" spans="1:1" ht="15.6" x14ac:dyDescent="0.3">
      <c r="A34" s="117" t="s">
        <v>72</v>
      </c>
    </row>
    <row r="56" spans="1:18" x14ac:dyDescent="0.3">
      <c r="A56" s="78" t="s">
        <v>0</v>
      </c>
      <c r="B56" s="78" t="s">
        <v>14</v>
      </c>
      <c r="C56" s="78" t="s">
        <v>15</v>
      </c>
      <c r="D56" s="78" t="s">
        <v>16</v>
      </c>
      <c r="E56" s="78" t="s">
        <v>17</v>
      </c>
      <c r="F56" s="78" t="s">
        <v>18</v>
      </c>
      <c r="G56" s="78" t="s">
        <v>19</v>
      </c>
      <c r="H56" s="78" t="s">
        <v>20</v>
      </c>
      <c r="I56" s="78" t="s">
        <v>21</v>
      </c>
      <c r="J56" s="78" t="s">
        <v>22</v>
      </c>
      <c r="K56" s="78" t="s">
        <v>27</v>
      </c>
      <c r="L56" s="78" t="s">
        <v>28</v>
      </c>
      <c r="M56" s="78" t="s">
        <v>36</v>
      </c>
      <c r="N56" s="78" t="s">
        <v>53</v>
      </c>
      <c r="O56" s="78" t="s">
        <v>55</v>
      </c>
      <c r="P56" s="78" t="s">
        <v>67</v>
      </c>
      <c r="Q56" s="78" t="s">
        <v>82</v>
      </c>
      <c r="R56" s="178">
        <v>2017</v>
      </c>
    </row>
    <row r="57" spans="1:18" ht="20.399999999999999" customHeight="1" x14ac:dyDescent="0.3">
      <c r="A57" s="159" t="str">
        <f>A56</f>
        <v>Fuel Source</v>
      </c>
      <c r="B57" s="160" t="str">
        <f t="shared" ref="B57:Q57" si="0">B56</f>
        <v>2001</v>
      </c>
      <c r="C57" s="160" t="str">
        <f t="shared" si="0"/>
        <v>2002</v>
      </c>
      <c r="D57" s="160" t="str">
        <f t="shared" si="0"/>
        <v>2003</v>
      </c>
      <c r="E57" s="160" t="str">
        <f t="shared" si="0"/>
        <v>2004</v>
      </c>
      <c r="F57" s="160" t="str">
        <f t="shared" si="0"/>
        <v>2005</v>
      </c>
      <c r="G57" s="160" t="str">
        <f t="shared" si="0"/>
        <v>2006</v>
      </c>
      <c r="H57" s="160" t="str">
        <f t="shared" si="0"/>
        <v>2007</v>
      </c>
      <c r="I57" s="160" t="str">
        <f t="shared" si="0"/>
        <v>2008</v>
      </c>
      <c r="J57" s="160" t="str">
        <f t="shared" si="0"/>
        <v>2009</v>
      </c>
      <c r="K57" s="160" t="str">
        <f t="shared" si="0"/>
        <v>2010</v>
      </c>
      <c r="L57" s="160" t="str">
        <f t="shared" si="0"/>
        <v>2011</v>
      </c>
      <c r="M57" s="160" t="str">
        <f t="shared" si="0"/>
        <v>2012</v>
      </c>
      <c r="N57" s="160" t="str">
        <f t="shared" si="0"/>
        <v>2013</v>
      </c>
      <c r="O57" s="160" t="str">
        <f t="shared" si="0"/>
        <v>2014</v>
      </c>
      <c r="P57" s="160" t="str">
        <f t="shared" si="0"/>
        <v>2015</v>
      </c>
      <c r="Q57" s="160" t="str">
        <f t="shared" si="0"/>
        <v>2016</v>
      </c>
      <c r="R57" s="177">
        <v>2017</v>
      </c>
    </row>
    <row r="58" spans="1:18" x14ac:dyDescent="0.3">
      <c r="A58" s="156" t="s">
        <v>41</v>
      </c>
      <c r="B58" s="157">
        <v>45853455</v>
      </c>
      <c r="C58" s="157">
        <v>56339641.008000001</v>
      </c>
      <c r="D58" s="157">
        <v>53850477.776000001</v>
      </c>
      <c r="E58" s="157">
        <v>54132176</v>
      </c>
      <c r="F58" s="157">
        <v>55342273</v>
      </c>
      <c r="G58" s="157">
        <v>59609529</v>
      </c>
      <c r="H58" s="157">
        <v>59203647</v>
      </c>
      <c r="I58" s="157">
        <v>58235550</v>
      </c>
      <c r="J58" s="157">
        <v>57214771</v>
      </c>
      <c r="K58" s="157">
        <v>53412120.715000004</v>
      </c>
      <c r="L58" s="157">
        <v>66847396.575000003</v>
      </c>
      <c r="M58" s="157">
        <v>62984536.362000003</v>
      </c>
      <c r="N58" s="157">
        <v>58074493.126000002</v>
      </c>
      <c r="O58" s="157">
        <v>59723804.568102188</v>
      </c>
      <c r="P58" s="158">
        <v>55306859</v>
      </c>
      <c r="Q58" s="158">
        <v>55697796</v>
      </c>
      <c r="R58" s="157">
        <v>63644891</v>
      </c>
    </row>
    <row r="59" spans="1:18" x14ac:dyDescent="0.3">
      <c r="A59" s="156" t="s">
        <v>3</v>
      </c>
      <c r="B59" s="157">
        <v>13247976</v>
      </c>
      <c r="C59" s="157">
        <v>10076411.603</v>
      </c>
      <c r="D59" s="157">
        <v>14336264.477</v>
      </c>
      <c r="E59" s="157">
        <v>14459001</v>
      </c>
      <c r="F59" s="157">
        <v>14860017</v>
      </c>
      <c r="G59" s="157">
        <v>14245188</v>
      </c>
      <c r="H59" s="157">
        <v>14866637</v>
      </c>
      <c r="I59" s="157">
        <v>15034912</v>
      </c>
      <c r="J59" s="157">
        <v>14672973</v>
      </c>
      <c r="K59" s="157">
        <v>15955167.881999999</v>
      </c>
      <c r="L59" s="157">
        <v>12900636.259</v>
      </c>
      <c r="M59" s="157">
        <v>12149258.443</v>
      </c>
      <c r="N59" s="157">
        <v>13519851.679</v>
      </c>
      <c r="O59" s="157">
        <v>14026539.562654842</v>
      </c>
      <c r="P59" s="158">
        <v>14388993</v>
      </c>
      <c r="Q59" s="158">
        <v>12799782</v>
      </c>
      <c r="R59" s="157">
        <v>12593438</v>
      </c>
    </row>
    <row r="60" spans="1:18" x14ac:dyDescent="0.3">
      <c r="A60" s="156" t="s">
        <v>4</v>
      </c>
      <c r="B60" s="157">
        <v>5954725</v>
      </c>
      <c r="C60" s="157">
        <v>3971750.92</v>
      </c>
      <c r="D60" s="157">
        <v>3590493.4049999998</v>
      </c>
      <c r="E60" s="157">
        <v>2717320.5789999999</v>
      </c>
      <c r="F60" s="157">
        <v>2660660</v>
      </c>
      <c r="G60" s="157">
        <v>2766514.5589999999</v>
      </c>
      <c r="H60" s="157">
        <v>2157301.7480000001</v>
      </c>
      <c r="I60" s="157">
        <v>1635296.148</v>
      </c>
      <c r="J60" s="157">
        <v>1867354.7879999999</v>
      </c>
      <c r="K60" s="157">
        <v>1731727.9280000001</v>
      </c>
      <c r="L60" s="157">
        <v>1319054.7660000001</v>
      </c>
      <c r="M60" s="157">
        <v>486609.09600000002</v>
      </c>
      <c r="N60" s="157">
        <v>1126515.1299999999</v>
      </c>
      <c r="O60" s="157">
        <v>926691.09400000004</v>
      </c>
      <c r="P60" s="156"/>
      <c r="Q60" s="158"/>
      <c r="R60" s="156"/>
    </row>
    <row r="61" spans="1:18" x14ac:dyDescent="0.3">
      <c r="A61" s="156" t="s">
        <v>5</v>
      </c>
      <c r="B61" s="157">
        <v>5908568</v>
      </c>
      <c r="C61" s="157">
        <v>2634327.7779999999</v>
      </c>
      <c r="D61" s="157">
        <v>4370727.642</v>
      </c>
      <c r="E61" s="157">
        <v>4662035.2149999999</v>
      </c>
      <c r="F61" s="157">
        <v>5325475</v>
      </c>
      <c r="G61" s="157">
        <v>4553446.5609999998</v>
      </c>
      <c r="H61" s="157">
        <v>6302442.1100000003</v>
      </c>
      <c r="I61" s="157">
        <v>7385757.4419999998</v>
      </c>
      <c r="J61" s="157">
        <v>9979345.0020000003</v>
      </c>
      <c r="K61" s="157">
        <v>10476257.187000001</v>
      </c>
      <c r="L61" s="157">
        <v>5684222.966</v>
      </c>
      <c r="M61" s="157">
        <v>6952877.324</v>
      </c>
      <c r="N61" s="157">
        <v>10823275.323999999</v>
      </c>
      <c r="O61" s="157">
        <v>9515792.4907281473</v>
      </c>
      <c r="P61" s="158">
        <v>11807835</v>
      </c>
      <c r="Q61" s="158">
        <v>9937111</v>
      </c>
      <c r="R61" s="157">
        <v>10188498.384</v>
      </c>
    </row>
    <row r="62" spans="1:18" x14ac:dyDescent="0.3">
      <c r="A62" s="156" t="s">
        <v>6</v>
      </c>
      <c r="B62" s="157">
        <v>3975371</v>
      </c>
      <c r="C62" s="157">
        <v>3858715.5279999999</v>
      </c>
      <c r="D62" s="157">
        <v>3726175.2439999999</v>
      </c>
      <c r="E62" s="157">
        <v>4591072</v>
      </c>
      <c r="F62" s="157">
        <v>4403537</v>
      </c>
      <c r="G62" s="157">
        <v>4513216</v>
      </c>
      <c r="H62" s="157">
        <v>4326265</v>
      </c>
      <c r="I62" s="157">
        <v>5083665</v>
      </c>
      <c r="J62" s="157">
        <v>3653541</v>
      </c>
      <c r="K62" s="157">
        <v>5430617.4440000001</v>
      </c>
      <c r="L62" s="157">
        <v>2390244.5189999999</v>
      </c>
      <c r="M62" s="157">
        <v>4239397.852</v>
      </c>
      <c r="N62" s="157">
        <v>4247504.0990000004</v>
      </c>
      <c r="O62" s="157">
        <v>4617390.9954746496</v>
      </c>
      <c r="P62" s="158">
        <v>4021955</v>
      </c>
      <c r="Q62" s="158">
        <v>4308647</v>
      </c>
      <c r="R62" s="157">
        <v>3941745</v>
      </c>
    </row>
    <row r="63" spans="1:18" x14ac:dyDescent="0.3">
      <c r="A63" s="156" t="s">
        <v>7</v>
      </c>
      <c r="B63" s="157">
        <v>937515</v>
      </c>
      <c r="C63" s="157">
        <v>392378.42499999999</v>
      </c>
      <c r="D63" s="157">
        <v>434699.94699999999</v>
      </c>
      <c r="E63" s="157">
        <v>536643</v>
      </c>
      <c r="F63" s="157">
        <v>587085</v>
      </c>
      <c r="G63" s="157">
        <v>392712</v>
      </c>
      <c r="H63" s="157">
        <v>460983</v>
      </c>
      <c r="I63" s="157">
        <v>415225.78</v>
      </c>
      <c r="J63" s="157">
        <v>445076.39799999999</v>
      </c>
      <c r="K63" s="157">
        <v>492371.446</v>
      </c>
      <c r="L63" s="157">
        <v>446889.57799999998</v>
      </c>
      <c r="M63" s="157">
        <v>310811.728</v>
      </c>
      <c r="N63" s="157">
        <v>260972.201</v>
      </c>
      <c r="O63" s="157">
        <v>300416.39194897329</v>
      </c>
      <c r="P63" s="158">
        <v>401408</v>
      </c>
      <c r="Q63" s="158">
        <v>675649</v>
      </c>
      <c r="R63" s="157">
        <v>562311</v>
      </c>
    </row>
    <row r="64" spans="1:18" x14ac:dyDescent="0.3">
      <c r="A64" s="156" t="s">
        <v>8</v>
      </c>
      <c r="B64" s="157">
        <v>489650</v>
      </c>
      <c r="C64" s="157">
        <v>22244.172999999999</v>
      </c>
      <c r="D64" s="157">
        <v>34956.951999999997</v>
      </c>
      <c r="E64" s="157">
        <v>53046</v>
      </c>
      <c r="F64" s="157">
        <v>44233</v>
      </c>
      <c r="G64" s="157">
        <v>62231.714</v>
      </c>
      <c r="H64" s="157">
        <v>69267.262000000002</v>
      </c>
      <c r="I64" s="157">
        <v>69936.697</v>
      </c>
      <c r="J64" s="157">
        <v>94360.441000000006</v>
      </c>
      <c r="K64" s="157">
        <v>81372.403000000006</v>
      </c>
      <c r="L64" s="157">
        <v>68539.483999999997</v>
      </c>
      <c r="M64" s="157">
        <v>67579.567999999999</v>
      </c>
      <c r="N64" s="157">
        <v>64611.319000000003</v>
      </c>
      <c r="O64" s="157">
        <v>59674.446021880045</v>
      </c>
      <c r="P64" s="158">
        <v>47108</v>
      </c>
      <c r="Q64" s="158">
        <v>61888</v>
      </c>
      <c r="R64" s="157">
        <v>103244</v>
      </c>
    </row>
    <row r="65" spans="1:19" x14ac:dyDescent="0.3">
      <c r="A65" s="156" t="s">
        <v>9</v>
      </c>
      <c r="B65" s="157">
        <v>236666</v>
      </c>
      <c r="C65" s="157">
        <v>23471.302</v>
      </c>
      <c r="D65" s="157">
        <v>139056.421</v>
      </c>
      <c r="E65" s="157">
        <v>102864</v>
      </c>
      <c r="F65" s="157">
        <v>150955</v>
      </c>
      <c r="G65" s="157">
        <v>331963</v>
      </c>
      <c r="H65" s="157">
        <v>288528</v>
      </c>
      <c r="I65" s="157">
        <v>276668.90399999998</v>
      </c>
      <c r="J65" s="157">
        <v>296179.5</v>
      </c>
      <c r="K65" s="157">
        <v>332719.18699999998</v>
      </c>
      <c r="L65" s="157">
        <v>336947.68099999998</v>
      </c>
      <c r="M65" s="157">
        <v>303066.17</v>
      </c>
      <c r="N65" s="157">
        <v>221914.345</v>
      </c>
      <c r="O65" s="157">
        <v>203960.34999549703</v>
      </c>
      <c r="P65" s="158">
        <v>158887</v>
      </c>
      <c r="Q65" s="158">
        <v>110699</v>
      </c>
      <c r="R65" s="157">
        <v>172753</v>
      </c>
    </row>
    <row r="66" spans="1:19" x14ac:dyDescent="0.3">
      <c r="A66" s="156" t="s">
        <v>10</v>
      </c>
      <c r="B66" s="157">
        <v>158779</v>
      </c>
      <c r="C66" s="157">
        <v>0</v>
      </c>
      <c r="D66" s="157">
        <v>0</v>
      </c>
      <c r="E66" s="157">
        <v>0</v>
      </c>
      <c r="F66" s="157">
        <v>0</v>
      </c>
      <c r="G66" s="157">
        <v>14399.46</v>
      </c>
      <c r="H66" s="157">
        <v>11189.054</v>
      </c>
      <c r="I66" s="157">
        <v>16865.677</v>
      </c>
      <c r="J66" s="157">
        <v>19237.288</v>
      </c>
      <c r="K66" s="157">
        <v>17375.66</v>
      </c>
      <c r="L66" s="157">
        <v>18107.003000000001</v>
      </c>
      <c r="M66" s="157">
        <v>17003.18</v>
      </c>
      <c r="N66" s="157">
        <v>16138.138999999999</v>
      </c>
      <c r="O66" s="157">
        <v>17911.256000000001</v>
      </c>
      <c r="P66" s="158">
        <v>16085</v>
      </c>
      <c r="Q66" s="158"/>
      <c r="R66" s="156"/>
    </row>
    <row r="67" spans="1:19" x14ac:dyDescent="0.3">
      <c r="A67" s="156" t="s">
        <v>58</v>
      </c>
      <c r="B67" s="157">
        <v>70807</v>
      </c>
      <c r="C67" s="157">
        <v>220705.36</v>
      </c>
      <c r="D67" s="157">
        <v>75124.600000000006</v>
      </c>
      <c r="E67" s="157">
        <v>134122</v>
      </c>
      <c r="F67" s="157">
        <v>80500</v>
      </c>
      <c r="G67" s="157">
        <v>57857.902000000002</v>
      </c>
      <c r="H67" s="157">
        <v>49040.764999999999</v>
      </c>
      <c r="I67" s="157">
        <v>23043.042000000001</v>
      </c>
      <c r="J67" s="157">
        <v>16058.359</v>
      </c>
      <c r="K67" s="157">
        <v>18787.384999999998</v>
      </c>
      <c r="L67" s="157">
        <v>49209.462</v>
      </c>
      <c r="M67" s="157">
        <v>83664.820999999996</v>
      </c>
      <c r="N67" s="157">
        <v>60741.197999999997</v>
      </c>
      <c r="O67" s="157">
        <v>104431.29671593619</v>
      </c>
      <c r="P67" s="158">
        <v>133132</v>
      </c>
      <c r="Q67" s="158">
        <v>148177</v>
      </c>
      <c r="R67" s="157">
        <v>121566</v>
      </c>
    </row>
    <row r="68" spans="1:19" x14ac:dyDescent="0.3">
      <c r="A68" s="156" t="s">
        <v>12</v>
      </c>
      <c r="B68" s="157">
        <v>23822</v>
      </c>
      <c r="C68" s="157">
        <v>163134.48000000001</v>
      </c>
      <c r="D68" s="157">
        <v>320539.98700000002</v>
      </c>
      <c r="E68" s="157">
        <v>346470</v>
      </c>
      <c r="F68" s="157">
        <v>432667</v>
      </c>
      <c r="G68" s="157">
        <v>867392</v>
      </c>
      <c r="H68" s="157">
        <v>545622</v>
      </c>
      <c r="I68" s="157">
        <v>1010928</v>
      </c>
      <c r="J68" s="157">
        <v>587994</v>
      </c>
      <c r="K68" s="157">
        <v>567280.99399999995</v>
      </c>
      <c r="L68" s="157">
        <v>1017701.777</v>
      </c>
      <c r="M68" s="157">
        <v>3011137.4070000001</v>
      </c>
      <c r="N68" s="157">
        <v>2859414.9079999998</v>
      </c>
      <c r="O68" s="157">
        <v>2219612.94</v>
      </c>
      <c r="P68" s="158">
        <v>2029032</v>
      </c>
      <c r="Q68" s="158">
        <v>3661267</v>
      </c>
      <c r="R68" s="157">
        <v>2674081</v>
      </c>
    </row>
    <row r="69" spans="1:19" x14ac:dyDescent="0.3">
      <c r="A69" s="156" t="s">
        <v>2</v>
      </c>
      <c r="B69" s="157"/>
      <c r="C69" s="157">
        <v>233994.81</v>
      </c>
      <c r="D69" s="157">
        <v>6990.9359999999997</v>
      </c>
      <c r="E69" s="157">
        <v>37379</v>
      </c>
      <c r="F69" s="157">
        <v>31156</v>
      </c>
      <c r="G69" s="157">
        <v>10863.061</v>
      </c>
      <c r="H69" s="157">
        <v>12923.103999999999</v>
      </c>
      <c r="I69" s="157">
        <v>19390.588</v>
      </c>
      <c r="J69" s="157">
        <v>28649.909</v>
      </c>
      <c r="K69" s="157">
        <v>28504.384999999998</v>
      </c>
      <c r="L69" s="157">
        <v>27306.823</v>
      </c>
      <c r="M69" s="157">
        <v>36395.506999999998</v>
      </c>
      <c r="N69" s="157">
        <v>39528.330999999998</v>
      </c>
      <c r="O69" s="157">
        <v>59964.44435788547</v>
      </c>
      <c r="P69" s="158"/>
      <c r="Q69" s="158">
        <v>48095</v>
      </c>
      <c r="R69" s="157">
        <v>36678</v>
      </c>
    </row>
    <row r="70" spans="1:19" x14ac:dyDescent="0.3">
      <c r="A70" s="156" t="s">
        <v>37</v>
      </c>
      <c r="B70" s="157"/>
      <c r="C70" s="157"/>
      <c r="D70" s="157"/>
      <c r="E70" s="157"/>
      <c r="F70" s="157"/>
      <c r="G70" s="157"/>
      <c r="H70" s="157"/>
      <c r="I70" s="157"/>
      <c r="J70" s="157"/>
      <c r="K70" s="157"/>
      <c r="L70" s="157"/>
      <c r="M70" s="157">
        <v>1433.0440000000001</v>
      </c>
      <c r="N70" s="157">
        <v>1709.0319999999999</v>
      </c>
      <c r="O70" s="157">
        <v>6618.384</v>
      </c>
      <c r="P70" s="158">
        <v>8807</v>
      </c>
      <c r="Q70" s="158">
        <v>3491</v>
      </c>
      <c r="R70" s="157">
        <v>3071</v>
      </c>
      <c r="S70" s="176">
        <v>0</v>
      </c>
    </row>
    <row r="71" spans="1:19" x14ac:dyDescent="0.3">
      <c r="A71" s="161" t="s">
        <v>1</v>
      </c>
      <c r="B71" s="162">
        <v>76857334</v>
      </c>
      <c r="C71" s="162">
        <v>77936775.386999995</v>
      </c>
      <c r="D71" s="162">
        <v>80885507.387000024</v>
      </c>
      <c r="E71" s="162">
        <v>81772128.794</v>
      </c>
      <c r="F71" s="162">
        <v>83918558</v>
      </c>
      <c r="G71" s="162">
        <v>87425313.256999999</v>
      </c>
      <c r="H71" s="162">
        <v>88293846.042999998</v>
      </c>
      <c r="I71" s="162">
        <v>89207239.277999997</v>
      </c>
      <c r="J71" s="162">
        <v>88875540.685000002</v>
      </c>
      <c r="K71" s="162">
        <v>88544302.616000026</v>
      </c>
      <c r="L71" s="162">
        <v>91106256.892999992</v>
      </c>
      <c r="M71" s="162">
        <v>90643770.502000019</v>
      </c>
      <c r="N71" s="162">
        <v>91316668.83100003</v>
      </c>
      <c r="O71" s="162">
        <v>91782808.219999999</v>
      </c>
      <c r="P71" s="163">
        <v>88320101</v>
      </c>
      <c r="Q71" s="163">
        <v>87452602</v>
      </c>
      <c r="R71" s="162">
        <v>94035658</v>
      </c>
      <c r="S71" s="176"/>
    </row>
    <row r="72" spans="1:19" x14ac:dyDescent="0.3">
      <c r="S72" s="176"/>
    </row>
    <row r="73" spans="1:19" x14ac:dyDescent="0.3">
      <c r="S73" s="176"/>
    </row>
  </sheetData>
  <sortState ref="S58:S73">
    <sortCondition descending="1" ref="S58:S73"/>
  </sortState>
  <pageMargins left="0.7" right="0.7" top="0.75" bottom="0.75" header="0.3" footer="0.3"/>
  <pageSetup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3"/>
  <sheetViews>
    <sheetView zoomScaleNormal="100" workbookViewId="0">
      <pane xSplit="1" topLeftCell="B1" activePane="topRight" state="frozen"/>
      <selection activeCell="A2" sqref="A2"/>
      <selection pane="topRight" activeCell="D2" sqref="D2"/>
    </sheetView>
  </sheetViews>
  <sheetFormatPr defaultColWidth="20.5546875" defaultRowHeight="14.25" customHeight="1" x14ac:dyDescent="0.3"/>
  <cols>
    <col min="1" max="1" width="19.44140625" style="42" customWidth="1"/>
    <col min="2" max="12" width="16.44140625" style="42" customWidth="1"/>
    <col min="13" max="14" width="17.5546875" style="42" customWidth="1"/>
    <col min="15" max="15" width="16.5546875" style="42" customWidth="1"/>
    <col min="16" max="16" width="16" style="42" customWidth="1"/>
    <col min="17" max="17" width="15.5546875" style="42" customWidth="1"/>
    <col min="18" max="19" width="17" style="139" customWidth="1"/>
    <col min="20" max="16384" width="20.5546875" style="42"/>
  </cols>
  <sheetData>
    <row r="1" spans="1:22" ht="14.25" customHeight="1" x14ac:dyDescent="0.3">
      <c r="A1" s="52" t="s">
        <v>26</v>
      </c>
      <c r="D1" s="52" t="s">
        <v>96</v>
      </c>
    </row>
    <row r="2" spans="1:22" ht="14.25" customHeight="1" x14ac:dyDescent="0.3">
      <c r="A2" s="42" t="s">
        <v>97</v>
      </c>
    </row>
    <row r="3" spans="1:22" ht="14.25" customHeight="1" x14ac:dyDescent="0.3">
      <c r="A3" s="42" t="s">
        <v>24</v>
      </c>
    </row>
    <row r="5" spans="1:22" ht="14.25" customHeight="1" x14ac:dyDescent="0.3">
      <c r="A5" s="52" t="s">
        <v>0</v>
      </c>
      <c r="B5" s="59" t="s">
        <v>13</v>
      </c>
      <c r="C5" s="59" t="s">
        <v>14</v>
      </c>
      <c r="D5" s="59" t="s">
        <v>15</v>
      </c>
      <c r="E5" s="59" t="s">
        <v>16</v>
      </c>
      <c r="F5" s="59" t="s">
        <v>17</v>
      </c>
      <c r="G5" s="59" t="s">
        <v>18</v>
      </c>
      <c r="H5" s="59" t="s">
        <v>19</v>
      </c>
      <c r="I5" s="59" t="s">
        <v>20</v>
      </c>
      <c r="J5" s="59" t="s">
        <v>21</v>
      </c>
      <c r="K5" s="59" t="s">
        <v>22</v>
      </c>
      <c r="L5" s="59" t="s">
        <v>27</v>
      </c>
      <c r="M5" s="59" t="s">
        <v>28</v>
      </c>
      <c r="N5" s="59" t="s">
        <v>36</v>
      </c>
      <c r="O5" s="65" t="s">
        <v>53</v>
      </c>
      <c r="P5" s="59" t="s">
        <v>55</v>
      </c>
      <c r="Q5" s="59" t="s">
        <v>67</v>
      </c>
      <c r="R5" s="149" t="s">
        <v>82</v>
      </c>
      <c r="S5" s="149" t="s">
        <v>92</v>
      </c>
      <c r="T5" s="42" t="s">
        <v>85</v>
      </c>
      <c r="U5" s="42" t="s">
        <v>86</v>
      </c>
      <c r="V5" s="42" t="s">
        <v>91</v>
      </c>
    </row>
    <row r="6" spans="1:22" ht="14.25" customHeight="1" x14ac:dyDescent="0.3">
      <c r="A6" s="61" t="s">
        <v>41</v>
      </c>
      <c r="B6" s="44">
        <v>67889833.989999995</v>
      </c>
      <c r="C6" s="44">
        <v>45853455</v>
      </c>
      <c r="D6" s="60">
        <v>56339641.008000001</v>
      </c>
      <c r="E6" s="45">
        <v>53850477.776000001</v>
      </c>
      <c r="F6" s="44">
        <v>54132176</v>
      </c>
      <c r="G6" s="44">
        <v>55342273</v>
      </c>
      <c r="H6" s="44">
        <v>59609529</v>
      </c>
      <c r="I6" s="44">
        <v>59203647</v>
      </c>
      <c r="J6" s="44">
        <v>58235550</v>
      </c>
      <c r="K6" s="44">
        <v>57214771</v>
      </c>
      <c r="L6" s="46">
        <v>53412120.715000004</v>
      </c>
      <c r="M6" s="46">
        <v>66847396.575000003</v>
      </c>
      <c r="N6" s="46">
        <v>62984536.362000003</v>
      </c>
      <c r="O6" s="83">
        <v>58074493.126000002</v>
      </c>
      <c r="P6" s="89">
        <v>59723804.568102188</v>
      </c>
      <c r="Q6" s="112">
        <v>55306859</v>
      </c>
      <c r="R6" s="142">
        <v>55697796</v>
      </c>
      <c r="S6" s="142">
        <v>63644891</v>
      </c>
      <c r="T6" s="49">
        <f>AVERAGE(Table1[[#This Row],[2000]:[2016]])</f>
        <v>57630491.771770723</v>
      </c>
      <c r="U6" s="49">
        <f>STDEV(Table1[[#This Row],[2000]:[2016]])</f>
        <v>5180718.1124733584</v>
      </c>
      <c r="V6" s="49">
        <f>1.96*Table1[[#This Row],[Std dev]]/SQRT(17)</f>
        <v>2462757.062869723</v>
      </c>
    </row>
    <row r="7" spans="1:22" ht="14.25" customHeight="1" x14ac:dyDescent="0.3">
      <c r="A7" s="61" t="s">
        <v>3</v>
      </c>
      <c r="B7" s="44">
        <v>16243438.27</v>
      </c>
      <c r="C7" s="44">
        <v>13247976</v>
      </c>
      <c r="D7" s="60">
        <v>10076411.603</v>
      </c>
      <c r="E7" s="45">
        <v>14336264.477</v>
      </c>
      <c r="F7" s="44">
        <v>14459001</v>
      </c>
      <c r="G7" s="44">
        <v>14860017</v>
      </c>
      <c r="H7" s="44">
        <v>14245188</v>
      </c>
      <c r="I7" s="44">
        <v>14866637</v>
      </c>
      <c r="J7" s="44">
        <v>15034912</v>
      </c>
      <c r="K7" s="44">
        <v>14672973</v>
      </c>
      <c r="L7" s="46">
        <v>15955167.881999999</v>
      </c>
      <c r="M7" s="46">
        <v>12900636.259</v>
      </c>
      <c r="N7" s="46">
        <v>12149258.443</v>
      </c>
      <c r="O7" s="83">
        <v>13519851.679</v>
      </c>
      <c r="P7" s="89">
        <v>14026539.562654842</v>
      </c>
      <c r="Q7" s="112">
        <v>14388993</v>
      </c>
      <c r="R7" s="142">
        <v>12799782</v>
      </c>
      <c r="S7" s="142">
        <v>12593438</v>
      </c>
      <c r="T7" s="49">
        <f>AVERAGE(Table1[[#This Row],[2000]:[2016]])</f>
        <v>13987238.069156166</v>
      </c>
      <c r="U7" s="49">
        <f>STDEV(Table1[[#This Row],[2000]:[2016]])</f>
        <v>1471997.8303553134</v>
      </c>
      <c r="V7" s="49">
        <f>1.96*Table1[[#This Row],[Std dev]]/SQRT(17)</f>
        <v>699743.35112120979</v>
      </c>
    </row>
    <row r="8" spans="1:22" ht="14.25" customHeight="1" x14ac:dyDescent="0.3">
      <c r="A8" s="61" t="s">
        <v>4</v>
      </c>
      <c r="B8" s="44">
        <v>5428455</v>
      </c>
      <c r="C8" s="60">
        <v>5954725</v>
      </c>
      <c r="D8" s="44">
        <v>3971750.92</v>
      </c>
      <c r="E8" s="45">
        <v>3590493.4049999998</v>
      </c>
      <c r="F8" s="43">
        <v>2717320.5789999999</v>
      </c>
      <c r="G8" s="44">
        <v>2660660</v>
      </c>
      <c r="H8" s="45">
        <v>2766514.5589999999</v>
      </c>
      <c r="I8" s="45">
        <v>2157301.7480000001</v>
      </c>
      <c r="J8" s="47">
        <v>1635296.148</v>
      </c>
      <c r="K8" s="45">
        <v>1867354.7879999999</v>
      </c>
      <c r="L8" s="46">
        <v>1731727.9280000001</v>
      </c>
      <c r="M8" s="46">
        <v>1319054.7660000001</v>
      </c>
      <c r="N8" s="46">
        <v>486609.09600000002</v>
      </c>
      <c r="O8" s="83">
        <v>1126515.1299999999</v>
      </c>
      <c r="P8" s="89">
        <v>926691.09400000004</v>
      </c>
      <c r="R8" s="140"/>
      <c r="S8" s="140"/>
      <c r="T8" s="49">
        <f>AVERAGE(Table1[[#This Row],[2000]:[2016]])</f>
        <v>2556031.3440666664</v>
      </c>
      <c r="U8" s="49">
        <f>STDEV(Table1[[#This Row],[2000]:[2016]])</f>
        <v>1595282.1138968929</v>
      </c>
      <c r="V8" s="49">
        <f>1.96*Table1[[#This Row],[Std dev]]/SQRT(17)</f>
        <v>758348.97942240024</v>
      </c>
    </row>
    <row r="9" spans="1:22" ht="14.25" customHeight="1" x14ac:dyDescent="0.3">
      <c r="A9" s="61" t="s">
        <v>5</v>
      </c>
      <c r="B9" s="44">
        <v>5343539.3499999996</v>
      </c>
      <c r="C9" s="60">
        <v>5908568</v>
      </c>
      <c r="D9" s="60">
        <v>2634327.7779999999</v>
      </c>
      <c r="E9" s="45">
        <v>4370727.642</v>
      </c>
      <c r="F9" s="43">
        <v>4662035.2149999999</v>
      </c>
      <c r="G9" s="44">
        <v>5325475</v>
      </c>
      <c r="H9" s="45">
        <v>4553446.5609999998</v>
      </c>
      <c r="I9" s="45">
        <v>6302442.1100000003</v>
      </c>
      <c r="J9" s="47">
        <v>7385757.4419999998</v>
      </c>
      <c r="K9" s="44">
        <v>9979345.0020000003</v>
      </c>
      <c r="L9" s="46">
        <v>10476257.187000001</v>
      </c>
      <c r="M9" s="46">
        <v>5684222.966</v>
      </c>
      <c r="N9" s="46">
        <v>6952877.324</v>
      </c>
      <c r="O9" s="83">
        <v>10823275.323999999</v>
      </c>
      <c r="P9" s="89">
        <v>9515792.4907281473</v>
      </c>
      <c r="Q9" s="112">
        <v>11807835</v>
      </c>
      <c r="R9" s="142">
        <v>9937111</v>
      </c>
      <c r="S9" s="142">
        <v>10181880</v>
      </c>
      <c r="T9" s="49">
        <f>AVERAGE(Table1[[#This Row],[2000]:[2016]])</f>
        <v>7156649.1406898918</v>
      </c>
      <c r="U9" s="49">
        <f>STDEV(Table1[[#This Row],[2000]:[2016]])</f>
        <v>2735919.8444227385</v>
      </c>
      <c r="V9" s="49">
        <f>1.96*Table1[[#This Row],[Std dev]]/SQRT(17)</f>
        <v>1300573.7378520963</v>
      </c>
    </row>
    <row r="10" spans="1:22" ht="14.25" customHeight="1" x14ac:dyDescent="0.3">
      <c r="A10" s="61" t="s">
        <v>6</v>
      </c>
      <c r="B10" s="44">
        <v>4285939.1500000004</v>
      </c>
      <c r="C10" s="44">
        <v>3975371</v>
      </c>
      <c r="D10" s="60">
        <v>3858715.5279999999</v>
      </c>
      <c r="E10" s="45">
        <v>3726175.2439999999</v>
      </c>
      <c r="F10" s="44">
        <v>4591072</v>
      </c>
      <c r="G10" s="44">
        <v>4403537</v>
      </c>
      <c r="H10" s="45">
        <v>4513216</v>
      </c>
      <c r="I10" s="44">
        <v>4326265</v>
      </c>
      <c r="J10" s="44">
        <v>5083665</v>
      </c>
      <c r="K10" s="45">
        <v>3653541</v>
      </c>
      <c r="L10" s="46">
        <v>5430617.4440000001</v>
      </c>
      <c r="M10" s="46">
        <v>2390244.5189999999</v>
      </c>
      <c r="N10" s="46">
        <v>4239397.852</v>
      </c>
      <c r="O10" s="83">
        <v>4247504.0990000004</v>
      </c>
      <c r="P10" s="89">
        <v>4617390.9954746496</v>
      </c>
      <c r="Q10" s="112">
        <v>4021955</v>
      </c>
      <c r="R10" s="142">
        <v>4308647</v>
      </c>
      <c r="S10" s="142">
        <v>3941745</v>
      </c>
      <c r="T10" s="49">
        <f>AVERAGE(Table1[[#This Row],[2000]:[2016]])</f>
        <v>4216073.754792626</v>
      </c>
      <c r="U10" s="49">
        <f>STDEV(Table1[[#This Row],[2000]:[2016]])</f>
        <v>651608.20110780466</v>
      </c>
      <c r="V10" s="49">
        <f>1.96*Table1[[#This Row],[Std dev]]/SQRT(17)</f>
        <v>309754.87657558458</v>
      </c>
    </row>
    <row r="11" spans="1:22" ht="14.25" customHeight="1" x14ac:dyDescent="0.3">
      <c r="A11" s="61" t="s">
        <v>7</v>
      </c>
      <c r="B11" s="44">
        <v>1100469.01</v>
      </c>
      <c r="C11" s="44">
        <v>937515</v>
      </c>
      <c r="D11" s="60">
        <v>392378.42499999999</v>
      </c>
      <c r="E11" s="45">
        <v>434699.94699999999</v>
      </c>
      <c r="F11" s="44">
        <v>536643</v>
      </c>
      <c r="G11" s="44">
        <v>587085</v>
      </c>
      <c r="H11" s="44">
        <v>392712</v>
      </c>
      <c r="I11" s="44">
        <v>460983</v>
      </c>
      <c r="J11" s="47">
        <v>415225.78</v>
      </c>
      <c r="K11" s="45">
        <v>445076.39799999999</v>
      </c>
      <c r="L11" s="46">
        <v>492371.446</v>
      </c>
      <c r="M11" s="46">
        <v>446889.57799999998</v>
      </c>
      <c r="N11" s="46">
        <v>310811.728</v>
      </c>
      <c r="O11" s="83">
        <v>260972.201</v>
      </c>
      <c r="P11" s="89">
        <v>300416.39194897329</v>
      </c>
      <c r="Q11" s="112">
        <v>401408</v>
      </c>
      <c r="R11" s="142">
        <v>675649</v>
      </c>
      <c r="S11" s="142">
        <v>562311</v>
      </c>
      <c r="T11" s="49">
        <f>AVERAGE(Table1[[#This Row],[2000]:[2016]])</f>
        <v>505370.93558523379</v>
      </c>
      <c r="U11" s="49">
        <f>STDEV(Table1[[#This Row],[2000]:[2016]])</f>
        <v>220186.46937238763</v>
      </c>
      <c r="V11" s="49">
        <f>1.96*Table1[[#This Row],[Std dev]]/SQRT(17)</f>
        <v>104670.00342859981</v>
      </c>
    </row>
    <row r="12" spans="1:22" ht="14.25" customHeight="1" x14ac:dyDescent="0.3">
      <c r="A12" s="61" t="s">
        <v>8</v>
      </c>
      <c r="B12" s="44">
        <v>401383.21</v>
      </c>
      <c r="C12" s="44">
        <v>489650</v>
      </c>
      <c r="D12" s="60">
        <v>22244.172999999999</v>
      </c>
      <c r="E12" s="45">
        <v>34956.951999999997</v>
      </c>
      <c r="F12" s="44">
        <v>53046</v>
      </c>
      <c r="G12" s="44">
        <v>44233</v>
      </c>
      <c r="H12" s="45">
        <v>62231.714</v>
      </c>
      <c r="I12" s="44">
        <v>69267.262000000002</v>
      </c>
      <c r="J12" s="47">
        <v>69936.697</v>
      </c>
      <c r="K12" s="45">
        <v>94360.441000000006</v>
      </c>
      <c r="L12" s="46">
        <v>81372.403000000006</v>
      </c>
      <c r="M12" s="46">
        <v>68539.483999999997</v>
      </c>
      <c r="N12" s="46">
        <v>67579.567999999999</v>
      </c>
      <c r="O12" s="83">
        <v>64611.319000000003</v>
      </c>
      <c r="P12" s="89">
        <v>59674.446021880045</v>
      </c>
      <c r="Q12" s="112">
        <v>47108</v>
      </c>
      <c r="R12" s="142">
        <v>61888</v>
      </c>
      <c r="S12" s="142">
        <v>103244</v>
      </c>
      <c r="T12" s="49">
        <f>AVERAGE(Table1[[#This Row],[2000]:[2016]])</f>
        <v>105416.62758952234</v>
      </c>
      <c r="U12" s="49">
        <f>STDEV(Table1[[#This Row],[2000]:[2016]])</f>
        <v>130041.9095673813</v>
      </c>
      <c r="V12" s="49">
        <f>1.96*Table1[[#This Row],[Std dev]]/SQRT(17)</f>
        <v>61817.999802972496</v>
      </c>
    </row>
    <row r="13" spans="1:22" ht="14.25" customHeight="1" x14ac:dyDescent="0.3">
      <c r="A13" s="61" t="s">
        <v>9</v>
      </c>
      <c r="B13" s="44">
        <v>159888</v>
      </c>
      <c r="C13" s="44">
        <v>236666</v>
      </c>
      <c r="D13" s="60">
        <v>23471.302</v>
      </c>
      <c r="E13" s="45">
        <v>139056.421</v>
      </c>
      <c r="F13" s="44">
        <v>102864</v>
      </c>
      <c r="G13" s="44">
        <v>150955</v>
      </c>
      <c r="H13" s="44">
        <v>331963</v>
      </c>
      <c r="I13" s="45">
        <v>288528</v>
      </c>
      <c r="J13" s="47">
        <v>276668.90399999998</v>
      </c>
      <c r="K13" s="45">
        <v>296179.5</v>
      </c>
      <c r="L13" s="46">
        <v>332719.18699999998</v>
      </c>
      <c r="M13" s="46">
        <v>336947.68099999998</v>
      </c>
      <c r="N13" s="46">
        <v>303066.17</v>
      </c>
      <c r="O13" s="83">
        <v>221914.345</v>
      </c>
      <c r="P13" s="89">
        <v>203960.34999549703</v>
      </c>
      <c r="Q13" s="112">
        <v>158887</v>
      </c>
      <c r="R13" s="143">
        <v>110699</v>
      </c>
      <c r="S13" s="143">
        <v>172753</v>
      </c>
      <c r="T13" s="49">
        <f>AVERAGE(Table1[[#This Row],[2000]:[2016]])</f>
        <v>216143.16823502924</v>
      </c>
      <c r="U13" s="49">
        <f>STDEV(Table1[[#This Row],[2000]:[2016]])</f>
        <v>94463.307853159771</v>
      </c>
      <c r="V13" s="49">
        <f>1.96*Table1[[#This Row],[Std dev]]/SQRT(17)</f>
        <v>44905.006129804671</v>
      </c>
    </row>
    <row r="14" spans="1:22" ht="14.25" customHeight="1" x14ac:dyDescent="0.3">
      <c r="A14" s="61" t="s">
        <v>10</v>
      </c>
      <c r="B14" s="44">
        <v>143024.29999999999</v>
      </c>
      <c r="C14" s="44">
        <v>158779</v>
      </c>
      <c r="D14" s="44">
        <v>0</v>
      </c>
      <c r="E14" s="45">
        <v>0</v>
      </c>
      <c r="F14" s="44">
        <v>0</v>
      </c>
      <c r="G14" s="45">
        <v>0</v>
      </c>
      <c r="H14" s="45">
        <v>14399.46</v>
      </c>
      <c r="I14" s="44">
        <v>11189.054</v>
      </c>
      <c r="J14" s="47">
        <v>16865.677</v>
      </c>
      <c r="K14" s="45">
        <v>19237.288</v>
      </c>
      <c r="L14" s="46">
        <v>17375.66</v>
      </c>
      <c r="M14" s="46">
        <v>18107.003000000001</v>
      </c>
      <c r="N14" s="46">
        <v>17003.18</v>
      </c>
      <c r="O14" s="83">
        <v>16138.138999999999</v>
      </c>
      <c r="P14" s="89">
        <v>17911.256000000001</v>
      </c>
      <c r="Q14" s="112">
        <v>16085</v>
      </c>
      <c r="R14" s="144"/>
      <c r="S14" s="144">
        <v>0</v>
      </c>
      <c r="T14" s="49">
        <f>AVERAGE(Table1[[#This Row],[2000]:[2016]])</f>
        <v>29132.188562500003</v>
      </c>
      <c r="U14" s="49">
        <f>STDEV(Table1[[#This Row],[2000]:[2016]])</f>
        <v>48189.69422845079</v>
      </c>
      <c r="V14" s="49">
        <f>1.96*Table1[[#This Row],[Std dev]]/SQRT(17)</f>
        <v>22907.926515613875</v>
      </c>
    </row>
    <row r="15" spans="1:22" ht="14.25" customHeight="1" x14ac:dyDescent="0.3">
      <c r="A15" s="61" t="s">
        <v>58</v>
      </c>
      <c r="B15" s="44">
        <v>68978</v>
      </c>
      <c r="C15" s="44">
        <v>70807</v>
      </c>
      <c r="D15" s="60">
        <v>220705.36</v>
      </c>
      <c r="E15" s="45">
        <v>75124.600000000006</v>
      </c>
      <c r="F15" s="44">
        <v>134122</v>
      </c>
      <c r="G15" s="44">
        <v>80500</v>
      </c>
      <c r="H15" s="45">
        <v>57857.902000000002</v>
      </c>
      <c r="I15" s="44">
        <v>49040.764999999999</v>
      </c>
      <c r="J15" s="47">
        <v>23043.042000000001</v>
      </c>
      <c r="K15" s="45">
        <v>16058.359</v>
      </c>
      <c r="L15" s="46">
        <v>18787.384999999998</v>
      </c>
      <c r="M15" s="46">
        <v>49209.462</v>
      </c>
      <c r="N15" s="46">
        <v>83664.820999999996</v>
      </c>
      <c r="O15" s="83">
        <v>60741.197999999997</v>
      </c>
      <c r="P15" s="89">
        <v>104431.29671593619</v>
      </c>
      <c r="Q15" s="112">
        <v>133132</v>
      </c>
      <c r="R15" s="145">
        <v>148177</v>
      </c>
      <c r="S15" s="142">
        <v>121566</v>
      </c>
      <c r="T15" s="49">
        <f>AVERAGE(Table1[[#This Row],[2000]:[2016]])</f>
        <v>82022.364159760953</v>
      </c>
      <c r="U15" s="49">
        <f>STDEV(Table1[[#This Row],[2000]:[2016]])</f>
        <v>52924.725618396245</v>
      </c>
      <c r="V15" s="49">
        <f>1.96*Table1[[#This Row],[Std dev]]/SQRT(17)</f>
        <v>25158.817559158946</v>
      </c>
    </row>
    <row r="16" spans="1:22" ht="14.25" customHeight="1" x14ac:dyDescent="0.3">
      <c r="A16" s="61" t="s">
        <v>12</v>
      </c>
      <c r="B16" s="44">
        <v>0</v>
      </c>
      <c r="C16" s="44">
        <v>23822</v>
      </c>
      <c r="D16" s="44">
        <v>163134.48000000001</v>
      </c>
      <c r="E16" s="45">
        <v>320539.98700000002</v>
      </c>
      <c r="F16" s="44">
        <v>346470</v>
      </c>
      <c r="G16" s="44">
        <v>432667</v>
      </c>
      <c r="H16" s="44">
        <v>867392</v>
      </c>
      <c r="I16" s="44">
        <v>545622</v>
      </c>
      <c r="J16" s="44">
        <v>1010928</v>
      </c>
      <c r="K16" s="44">
        <v>587994</v>
      </c>
      <c r="L16" s="46">
        <v>567280.99399999995</v>
      </c>
      <c r="M16" s="46">
        <v>1017701.777</v>
      </c>
      <c r="N16" s="46">
        <v>3011137.4070000001</v>
      </c>
      <c r="O16" s="83">
        <v>2859414.9079999998</v>
      </c>
      <c r="P16" s="89">
        <v>2219612.94</v>
      </c>
      <c r="Q16" s="112">
        <v>2029032</v>
      </c>
      <c r="R16" s="148">
        <v>3661267</v>
      </c>
      <c r="S16" s="142">
        <v>2674081</v>
      </c>
      <c r="T16" s="49">
        <f>AVERAGE(Table1[[#This Row],[2000]:[2016]])</f>
        <v>1156706.8525294119</v>
      </c>
      <c r="U16" s="49">
        <f>STDEV(Table1[[#This Row],[2000]:[2016]])</f>
        <v>1149964.8269100918</v>
      </c>
      <c r="V16" s="49">
        <f>1.96*Table1[[#This Row],[Std dev]]/SQRT(17)</f>
        <v>546658.57860629761</v>
      </c>
    </row>
    <row r="17" spans="1:22" ht="14.25" customHeight="1" x14ac:dyDescent="0.3">
      <c r="A17" s="61" t="s">
        <v>2</v>
      </c>
      <c r="B17" s="49"/>
      <c r="C17" s="45"/>
      <c r="D17" s="44">
        <v>233994.81</v>
      </c>
      <c r="E17" s="45">
        <v>6990.9359999999997</v>
      </c>
      <c r="F17" s="44">
        <v>37379</v>
      </c>
      <c r="G17" s="44">
        <v>31156</v>
      </c>
      <c r="H17" s="44">
        <v>10863.061</v>
      </c>
      <c r="I17" s="44">
        <v>12923.103999999999</v>
      </c>
      <c r="J17" s="47">
        <v>19390.588</v>
      </c>
      <c r="K17" s="45">
        <v>28649.909</v>
      </c>
      <c r="L17" s="46">
        <v>28504.384999999998</v>
      </c>
      <c r="M17" s="46">
        <v>27306.823</v>
      </c>
      <c r="N17" s="46">
        <v>36395.506999999998</v>
      </c>
      <c r="O17" s="83">
        <v>39528.330999999998</v>
      </c>
      <c r="P17" s="89">
        <v>59964.44435788547</v>
      </c>
      <c r="Q17" s="112"/>
      <c r="R17" s="144">
        <v>48095</v>
      </c>
      <c r="S17" s="142">
        <v>36678</v>
      </c>
      <c r="T17" s="49">
        <f>AVERAGE(Table1[[#This Row],[2000]:[2016]])</f>
        <v>44367.27845413467</v>
      </c>
      <c r="U17" s="49">
        <f>STDEV(Table1[[#This Row],[2000]:[2016]])</f>
        <v>56465.052259211108</v>
      </c>
      <c r="V17" s="49">
        <f>1.96*Table1[[#This Row],[Std dev]]/SQRT(17)</f>
        <v>26841.782015098066</v>
      </c>
    </row>
    <row r="18" spans="1:22" ht="14.25" customHeight="1" x14ac:dyDescent="0.3">
      <c r="A18" s="61" t="s">
        <v>37</v>
      </c>
      <c r="B18" s="44"/>
      <c r="C18" s="44"/>
      <c r="D18" s="44"/>
      <c r="E18" s="45"/>
      <c r="F18" s="44"/>
      <c r="G18" s="44"/>
      <c r="H18" s="44"/>
      <c r="I18" s="44"/>
      <c r="J18" s="47"/>
      <c r="K18" s="45"/>
      <c r="L18" s="45"/>
      <c r="M18" s="49"/>
      <c r="N18" s="46">
        <v>1433.0440000000001</v>
      </c>
      <c r="O18" s="83">
        <v>1709.0319999999999</v>
      </c>
      <c r="P18" s="89">
        <v>6618.384</v>
      </c>
      <c r="Q18" s="112">
        <v>8807</v>
      </c>
      <c r="R18" s="144">
        <v>3491</v>
      </c>
      <c r="S18" s="144">
        <v>3071</v>
      </c>
      <c r="T18" s="49">
        <f>AVERAGE(Table1[[#This Row],[2000]:[2016]])</f>
        <v>4411.692</v>
      </c>
      <c r="U18" s="49">
        <f>STDEV(Table1[[#This Row],[2000]:[2016]])</f>
        <v>3209.8524397585634</v>
      </c>
      <c r="V18" s="49">
        <f>1.96*Table1[[#This Row],[Std dev]]/SQRT(17)</f>
        <v>1525.8669927924334</v>
      </c>
    </row>
    <row r="19" spans="1:22" ht="14.25" customHeight="1" x14ac:dyDescent="0.3">
      <c r="A19" s="52" t="s">
        <v>1</v>
      </c>
      <c r="B19" s="49">
        <f t="shared" ref="B19:M19" si="0">SUM(B6:B17)</f>
        <v>101064948.27999999</v>
      </c>
      <c r="C19" s="49">
        <f t="shared" si="0"/>
        <v>76857334</v>
      </c>
      <c r="D19" s="49">
        <f t="shared" si="0"/>
        <v>77936775.386999995</v>
      </c>
      <c r="E19" s="49">
        <f t="shared" si="0"/>
        <v>80885507.387000024</v>
      </c>
      <c r="F19" s="49">
        <f t="shared" si="0"/>
        <v>81772128.794</v>
      </c>
      <c r="G19" s="49">
        <f t="shared" si="0"/>
        <v>83918558</v>
      </c>
      <c r="H19" s="49">
        <f t="shared" si="0"/>
        <v>87425313.256999999</v>
      </c>
      <c r="I19" s="49">
        <f t="shared" si="0"/>
        <v>88293846.042999998</v>
      </c>
      <c r="J19" s="49">
        <f t="shared" si="0"/>
        <v>89207239.277999997</v>
      </c>
      <c r="K19" s="49">
        <f t="shared" si="0"/>
        <v>88875540.685000002</v>
      </c>
      <c r="L19" s="49">
        <f t="shared" si="0"/>
        <v>88544302.616000026</v>
      </c>
      <c r="M19" s="49">
        <f t="shared" si="0"/>
        <v>91106256.892999992</v>
      </c>
      <c r="N19" s="49">
        <f>SUM(N6:N18)</f>
        <v>90643770.502000019</v>
      </c>
      <c r="O19" s="45">
        <f>SUBTOTAL(109,O6:O18)</f>
        <v>91316668.83100003</v>
      </c>
      <c r="P19" s="49">
        <f>SUBTOTAL(109,P6:P18)</f>
        <v>91782808.219999999</v>
      </c>
      <c r="Q19" s="113">
        <f>SUM(Q6:Q18)</f>
        <v>88320101</v>
      </c>
      <c r="R19" s="146">
        <f>SUM(R6:R18)</f>
        <v>87452602</v>
      </c>
      <c r="S19" s="146">
        <f>SUBTOTAL(109,S6:S18)</f>
        <v>94035658</v>
      </c>
      <c r="T19" s="49">
        <f>AVERAGE(Table1[[#This Row],[2000]:[2016]])</f>
        <v>87376688.304294139</v>
      </c>
      <c r="U19" s="49">
        <f>STDEV(Table1[[#This Row],[2000]:[2016]])</f>
        <v>5814117.4795511197</v>
      </c>
      <c r="V19" s="49">
        <f>1.96*Table1[[#This Row],[Std dev]]/SQRT(17)</f>
        <v>2763856.0091976956</v>
      </c>
    </row>
    <row r="20" spans="1:22" ht="14.25" customHeight="1" x14ac:dyDescent="0.3">
      <c r="A20" s="61" t="s">
        <v>90</v>
      </c>
      <c r="B20" s="44"/>
      <c r="C20" s="138">
        <v>54674</v>
      </c>
      <c r="D20" s="138">
        <v>77989</v>
      </c>
      <c r="E20" s="30">
        <v>71702</v>
      </c>
      <c r="F20" s="138">
        <v>71501</v>
      </c>
      <c r="G20" s="138">
        <v>72023</v>
      </c>
      <c r="H20" s="13">
        <v>81944</v>
      </c>
      <c r="I20" s="138">
        <v>78781</v>
      </c>
      <c r="J20" s="29">
        <v>77589</v>
      </c>
      <c r="K20" s="30">
        <v>72886</v>
      </c>
      <c r="L20" s="30">
        <v>68233</v>
      </c>
      <c r="M20" s="17">
        <v>91815</v>
      </c>
      <c r="N20" s="15">
        <v>89463</v>
      </c>
      <c r="O20" s="13">
        <v>78155</v>
      </c>
      <c r="P20" s="13">
        <v>79463</v>
      </c>
      <c r="Q20" s="79">
        <v>73405</v>
      </c>
      <c r="R20" s="147">
        <v>78346</v>
      </c>
      <c r="S20" s="147"/>
      <c r="T20" s="49">
        <f>AVERAGE(Table1[[#This Row],[2000]:[2016]])</f>
        <v>76123.0625</v>
      </c>
      <c r="U20" s="49">
        <f>STDEV(Table1[[#This Row],[2000]:[2016]])</f>
        <v>8520.1582651086937</v>
      </c>
      <c r="V20" s="49">
        <f>1.96*Table1[[#This Row],[Std dev]]/SQRT(17)</f>
        <v>4050.2261440637662</v>
      </c>
    </row>
    <row r="21" spans="1:22" ht="22.5" customHeight="1" x14ac:dyDescent="0.3">
      <c r="A21" s="42" t="s">
        <v>25</v>
      </c>
      <c r="B21" s="50"/>
      <c r="C21" s="137">
        <f>C6/(C20*1000)</f>
        <v>0.83867020887441923</v>
      </c>
      <c r="D21" s="137">
        <f t="shared" ref="D21:Q21" si="1">D6/(D20*1000)</f>
        <v>0.72240496746977134</v>
      </c>
      <c r="E21" s="137">
        <f t="shared" si="1"/>
        <v>0.75103173936570811</v>
      </c>
      <c r="F21" s="137">
        <f t="shared" si="1"/>
        <v>0.75708278205899215</v>
      </c>
      <c r="G21" s="137">
        <f t="shared" si="1"/>
        <v>0.76839722033239377</v>
      </c>
      <c r="H21" s="137">
        <f t="shared" si="1"/>
        <v>0.72744226544957535</v>
      </c>
      <c r="I21" s="137">
        <f t="shared" si="1"/>
        <v>0.75149651565732856</v>
      </c>
      <c r="J21" s="137">
        <f t="shared" si="1"/>
        <v>0.75056451301086491</v>
      </c>
      <c r="K21" s="137">
        <f t="shared" si="1"/>
        <v>0.78498986087863243</v>
      </c>
      <c r="L21" s="137">
        <f t="shared" si="1"/>
        <v>0.78279015600955559</v>
      </c>
      <c r="M21" s="137">
        <f t="shared" si="1"/>
        <v>0.72806618281326585</v>
      </c>
      <c r="N21" s="137">
        <f t="shared" si="1"/>
        <v>0.70402888749538917</v>
      </c>
      <c r="O21" s="137">
        <f t="shared" si="1"/>
        <v>0.74306817383404777</v>
      </c>
      <c r="P21" s="137">
        <f t="shared" si="1"/>
        <v>0.75159262258034798</v>
      </c>
      <c r="Q21" s="137">
        <f t="shared" si="1"/>
        <v>0.75344811661330968</v>
      </c>
      <c r="R21" s="141">
        <f t="shared" ref="R21" si="2">R6/(R20*1000)</f>
        <v>0.71092073622137697</v>
      </c>
      <c r="S21" s="141"/>
      <c r="T21" s="137">
        <f t="shared" ref="T21" si="3">T6/(T20*1000)</f>
        <v>0.75707006364557028</v>
      </c>
    </row>
    <row r="22" spans="1:22" ht="14.25" customHeight="1" x14ac:dyDescent="0.3">
      <c r="A22" s="51" t="s">
        <v>66</v>
      </c>
      <c r="B22" s="50"/>
      <c r="C22" s="50"/>
      <c r="D22" s="50"/>
      <c r="E22" s="50"/>
      <c r="F22" s="50"/>
      <c r="G22" s="50"/>
      <c r="H22" s="50"/>
      <c r="I22" s="50"/>
      <c r="J22" s="50"/>
      <c r="K22" s="50"/>
      <c r="L22" s="50"/>
      <c r="M22" s="50"/>
      <c r="N22" s="35"/>
      <c r="O22" s="48"/>
      <c r="R22" s="139" t="s">
        <v>87</v>
      </c>
    </row>
    <row r="23" spans="1:22" ht="14.25" customHeight="1" x14ac:dyDescent="0.3">
      <c r="A23" s="20" t="s">
        <v>29</v>
      </c>
      <c r="N23" s="35"/>
      <c r="O23" s="48"/>
      <c r="R23" s="139" t="s">
        <v>88</v>
      </c>
      <c r="T23" s="137">
        <f>C6/T6</f>
        <v>0.7956457352748203</v>
      </c>
    </row>
    <row r="24" spans="1:22" ht="14.25" customHeight="1" x14ac:dyDescent="0.3">
      <c r="A24" s="34"/>
      <c r="N24" s="35"/>
      <c r="O24" s="48"/>
      <c r="R24" s="139" t="s">
        <v>89</v>
      </c>
      <c r="T24" s="136">
        <f>M6/T6</f>
        <v>1.1599310455258689</v>
      </c>
    </row>
    <row r="26" spans="1:22" ht="14.25" customHeight="1" x14ac:dyDescent="0.3">
      <c r="A26" s="52" t="s">
        <v>57</v>
      </c>
    </row>
    <row r="27" spans="1:22" ht="14.25" customHeight="1" x14ac:dyDescent="0.3">
      <c r="A27" s="52" t="s">
        <v>0</v>
      </c>
      <c r="B27" s="59" t="s">
        <v>13</v>
      </c>
      <c r="C27" s="59" t="s">
        <v>14</v>
      </c>
      <c r="D27" s="59" t="s">
        <v>15</v>
      </c>
      <c r="E27" s="59" t="s">
        <v>16</v>
      </c>
      <c r="F27" s="59" t="s">
        <v>17</v>
      </c>
      <c r="G27" s="59" t="s">
        <v>18</v>
      </c>
      <c r="H27" s="59" t="s">
        <v>19</v>
      </c>
      <c r="I27" s="59" t="s">
        <v>20</v>
      </c>
      <c r="J27" s="59" t="s">
        <v>21</v>
      </c>
      <c r="K27" s="59" t="s">
        <v>22</v>
      </c>
      <c r="L27" s="59" t="s">
        <v>27</v>
      </c>
      <c r="M27" s="59" t="s">
        <v>28</v>
      </c>
      <c r="N27" s="59" t="s">
        <v>36</v>
      </c>
      <c r="O27" s="63" t="s">
        <v>53</v>
      </c>
      <c r="P27" s="59" t="s">
        <v>55</v>
      </c>
      <c r="Q27" s="149" t="s">
        <v>67</v>
      </c>
      <c r="R27" s="149" t="s">
        <v>82</v>
      </c>
      <c r="S27" s="59" t="s">
        <v>92</v>
      </c>
    </row>
    <row r="28" spans="1:22" ht="14.25" customHeight="1" x14ac:dyDescent="0.3">
      <c r="A28" s="53" t="s">
        <v>40</v>
      </c>
      <c r="B28" s="54">
        <f t="shared" ref="B28:D29" si="4">B6</f>
        <v>67889833.989999995</v>
      </c>
      <c r="C28" s="54">
        <f t="shared" si="4"/>
        <v>45853455</v>
      </c>
      <c r="D28" s="54">
        <f t="shared" si="4"/>
        <v>56339641.008000001</v>
      </c>
      <c r="E28" s="54">
        <f t="shared" ref="E28:H28" si="5">E6</f>
        <v>53850477.776000001</v>
      </c>
      <c r="F28" s="54">
        <f t="shared" si="5"/>
        <v>54132176</v>
      </c>
      <c r="G28" s="54">
        <f t="shared" si="5"/>
        <v>55342273</v>
      </c>
      <c r="H28" s="54">
        <f t="shared" si="5"/>
        <v>59609529</v>
      </c>
      <c r="I28" s="54">
        <f t="shared" ref="I28:M28" si="6">I6</f>
        <v>59203647</v>
      </c>
      <c r="J28" s="54">
        <f t="shared" si="6"/>
        <v>58235550</v>
      </c>
      <c r="K28" s="54">
        <f t="shared" si="6"/>
        <v>57214771</v>
      </c>
      <c r="L28" s="54">
        <f t="shared" si="6"/>
        <v>53412120.715000004</v>
      </c>
      <c r="M28" s="54">
        <f t="shared" si="6"/>
        <v>66847396.575000003</v>
      </c>
      <c r="N28" s="54">
        <f t="shared" ref="N28:P28" si="7">N6</f>
        <v>62984536.362000003</v>
      </c>
      <c r="O28" s="54">
        <f t="shared" si="7"/>
        <v>58074493.126000002</v>
      </c>
      <c r="P28" s="54">
        <f t="shared" si="7"/>
        <v>59723804.568102188</v>
      </c>
      <c r="Q28" s="54">
        <f t="shared" ref="Q28:R28" si="8">Q6</f>
        <v>55306859</v>
      </c>
      <c r="R28" s="150">
        <f t="shared" si="8"/>
        <v>55697796</v>
      </c>
      <c r="S28" s="150">
        <f t="shared" ref="S28" si="9">S6</f>
        <v>63644891</v>
      </c>
    </row>
    <row r="29" spans="1:22" ht="14.25" customHeight="1" x14ac:dyDescent="0.3">
      <c r="A29" s="53" t="s">
        <v>3</v>
      </c>
      <c r="B29" s="54">
        <f t="shared" si="4"/>
        <v>16243438.27</v>
      </c>
      <c r="C29" s="54">
        <f t="shared" si="4"/>
        <v>13247976</v>
      </c>
      <c r="D29" s="54">
        <f t="shared" si="4"/>
        <v>10076411.603</v>
      </c>
      <c r="E29" s="54">
        <f t="shared" ref="E29:H29" si="10">E7</f>
        <v>14336264.477</v>
      </c>
      <c r="F29" s="54">
        <f t="shared" si="10"/>
        <v>14459001</v>
      </c>
      <c r="G29" s="54">
        <f t="shared" si="10"/>
        <v>14860017</v>
      </c>
      <c r="H29" s="54">
        <f t="shared" si="10"/>
        <v>14245188</v>
      </c>
      <c r="I29" s="54">
        <f t="shared" ref="I29:M29" si="11">I7</f>
        <v>14866637</v>
      </c>
      <c r="J29" s="54">
        <f t="shared" si="11"/>
        <v>15034912</v>
      </c>
      <c r="K29" s="54">
        <f t="shared" si="11"/>
        <v>14672973</v>
      </c>
      <c r="L29" s="54">
        <f t="shared" si="11"/>
        <v>15955167.881999999</v>
      </c>
      <c r="M29" s="54">
        <f t="shared" si="11"/>
        <v>12900636.259</v>
      </c>
      <c r="N29" s="54">
        <f t="shared" ref="N29:P29" si="12">N7</f>
        <v>12149258.443</v>
      </c>
      <c r="O29" s="54">
        <f t="shared" si="12"/>
        <v>13519851.679</v>
      </c>
      <c r="P29" s="54">
        <f t="shared" si="12"/>
        <v>14026539.562654842</v>
      </c>
      <c r="Q29" s="54">
        <f t="shared" ref="Q29:R29" si="13">Q7</f>
        <v>14388993</v>
      </c>
      <c r="R29" s="150">
        <f t="shared" si="13"/>
        <v>12799782</v>
      </c>
      <c r="S29" s="150">
        <f t="shared" ref="S29" si="14">S7</f>
        <v>12593438</v>
      </c>
    </row>
    <row r="30" spans="1:22" ht="14.25" customHeight="1" x14ac:dyDescent="0.3">
      <c r="A30" s="53" t="s">
        <v>65</v>
      </c>
      <c r="B30" s="54">
        <f t="shared" ref="B30:C30" si="15">B9+B8</f>
        <v>10771994.35</v>
      </c>
      <c r="C30" s="54">
        <f t="shared" si="15"/>
        <v>11863293</v>
      </c>
      <c r="D30" s="54">
        <f t="shared" ref="D30:H30" si="16">D9+D8</f>
        <v>6606078.6979999999</v>
      </c>
      <c r="E30" s="54">
        <f t="shared" si="16"/>
        <v>7961221.0470000003</v>
      </c>
      <c r="F30" s="54">
        <f t="shared" si="16"/>
        <v>7379355.7939999998</v>
      </c>
      <c r="G30" s="54">
        <f t="shared" si="16"/>
        <v>7986135</v>
      </c>
      <c r="H30" s="54">
        <f t="shared" si="16"/>
        <v>7319961.1199999992</v>
      </c>
      <c r="I30" s="54">
        <f t="shared" ref="I30:M30" si="17">I9+I8</f>
        <v>8459743.8580000009</v>
      </c>
      <c r="J30" s="54">
        <f t="shared" si="17"/>
        <v>9021053.5899999999</v>
      </c>
      <c r="K30" s="54">
        <f t="shared" si="17"/>
        <v>11846699.790000001</v>
      </c>
      <c r="L30" s="54">
        <f t="shared" si="17"/>
        <v>12207985.115</v>
      </c>
      <c r="M30" s="54">
        <f t="shared" si="17"/>
        <v>7003277.7319999998</v>
      </c>
      <c r="N30" s="54">
        <f t="shared" ref="N30:P30" si="18">N9+N8</f>
        <v>7439486.4199999999</v>
      </c>
      <c r="O30" s="54">
        <f t="shared" si="18"/>
        <v>11949790.454</v>
      </c>
      <c r="P30" s="54">
        <f t="shared" si="18"/>
        <v>10442483.584728148</v>
      </c>
      <c r="Q30" s="54">
        <f t="shared" ref="Q30:R30" si="19">Q9+Q8</f>
        <v>11807835</v>
      </c>
      <c r="R30" s="150">
        <f t="shared" si="19"/>
        <v>9937111</v>
      </c>
      <c r="S30" s="150">
        <f t="shared" ref="S30" si="20">S9+S8</f>
        <v>10181880</v>
      </c>
    </row>
    <row r="31" spans="1:22" ht="14.25" customHeight="1" x14ac:dyDescent="0.3">
      <c r="A31" s="53" t="s">
        <v>6</v>
      </c>
      <c r="B31" s="54">
        <f>B10</f>
        <v>4285939.1500000004</v>
      </c>
      <c r="C31" s="54">
        <f>C10</f>
        <v>3975371</v>
      </c>
      <c r="D31" s="54">
        <f>D10</f>
        <v>3858715.5279999999</v>
      </c>
      <c r="E31" s="54">
        <f t="shared" ref="E31:H31" si="21">E10</f>
        <v>3726175.2439999999</v>
      </c>
      <c r="F31" s="54">
        <f t="shared" si="21"/>
        <v>4591072</v>
      </c>
      <c r="G31" s="54">
        <f t="shared" si="21"/>
        <v>4403537</v>
      </c>
      <c r="H31" s="54">
        <f t="shared" si="21"/>
        <v>4513216</v>
      </c>
      <c r="I31" s="54">
        <f t="shared" ref="I31:M31" si="22">I10</f>
        <v>4326265</v>
      </c>
      <c r="J31" s="54">
        <f t="shared" si="22"/>
        <v>5083665</v>
      </c>
      <c r="K31" s="54">
        <f t="shared" si="22"/>
        <v>3653541</v>
      </c>
      <c r="L31" s="54">
        <f t="shared" si="22"/>
        <v>5430617.4440000001</v>
      </c>
      <c r="M31" s="54">
        <f t="shared" si="22"/>
        <v>2390244.5189999999</v>
      </c>
      <c r="N31" s="54">
        <f t="shared" ref="N31:P31" si="23">N10</f>
        <v>4239397.852</v>
      </c>
      <c r="O31" s="54">
        <f t="shared" si="23"/>
        <v>4247504.0990000004</v>
      </c>
      <c r="P31" s="54">
        <f t="shared" si="23"/>
        <v>4617390.9954746496</v>
      </c>
      <c r="Q31" s="54">
        <f t="shared" ref="Q31:R31" si="24">Q10</f>
        <v>4021955</v>
      </c>
      <c r="R31" s="150">
        <f t="shared" si="24"/>
        <v>4308647</v>
      </c>
      <c r="S31" s="150">
        <f t="shared" ref="S31" si="25">S10</f>
        <v>3941745</v>
      </c>
    </row>
    <row r="32" spans="1:22" ht="14.25" customHeight="1" x14ac:dyDescent="0.3">
      <c r="A32" s="53" t="s">
        <v>12</v>
      </c>
      <c r="B32" s="54">
        <f>B16</f>
        <v>0</v>
      </c>
      <c r="C32" s="54">
        <f>C16</f>
        <v>23822</v>
      </c>
      <c r="D32" s="54">
        <f>D16</f>
        <v>163134.48000000001</v>
      </c>
      <c r="E32" s="54">
        <f t="shared" ref="E32:H32" si="26">E16</f>
        <v>320539.98700000002</v>
      </c>
      <c r="F32" s="54">
        <f t="shared" si="26"/>
        <v>346470</v>
      </c>
      <c r="G32" s="54">
        <f t="shared" si="26"/>
        <v>432667</v>
      </c>
      <c r="H32" s="54">
        <f t="shared" si="26"/>
        <v>867392</v>
      </c>
      <c r="I32" s="54">
        <f t="shared" ref="I32:M32" si="27">I16</f>
        <v>545622</v>
      </c>
      <c r="J32" s="54">
        <f t="shared" si="27"/>
        <v>1010928</v>
      </c>
      <c r="K32" s="54">
        <f t="shared" si="27"/>
        <v>587994</v>
      </c>
      <c r="L32" s="54">
        <f t="shared" si="27"/>
        <v>567280.99399999995</v>
      </c>
      <c r="M32" s="54">
        <f t="shared" si="27"/>
        <v>1017701.777</v>
      </c>
      <c r="N32" s="54">
        <f t="shared" ref="N32:P32" si="28">N16</f>
        <v>3011137.4070000001</v>
      </c>
      <c r="O32" s="54">
        <f t="shared" si="28"/>
        <v>2859414.9079999998</v>
      </c>
      <c r="P32" s="54">
        <f t="shared" si="28"/>
        <v>2219612.94</v>
      </c>
      <c r="Q32" s="54">
        <f t="shared" ref="Q32:R32" si="29">Q16</f>
        <v>2029032</v>
      </c>
      <c r="R32" s="150">
        <f t="shared" si="29"/>
        <v>3661267</v>
      </c>
      <c r="S32" s="150">
        <f t="shared" ref="S32" si="30">S16</f>
        <v>2674081</v>
      </c>
    </row>
    <row r="33" spans="1:19" ht="14.25" customHeight="1" x14ac:dyDescent="0.3">
      <c r="A33" s="53" t="s">
        <v>61</v>
      </c>
      <c r="B33" s="54">
        <f>B11+B12+B13+B14+B15+B17+B18</f>
        <v>1873742.52</v>
      </c>
      <c r="C33" s="54">
        <f>C11+C12+C13+C14+C15+C17+C18</f>
        <v>1893417</v>
      </c>
      <c r="D33" s="54">
        <f>D11+D12+D13+D14+D15+D17+D18</f>
        <v>892794.07000000007</v>
      </c>
      <c r="E33" s="54">
        <f t="shared" ref="E33:H33" si="31">E11+E12+E13+E14+E15+E17+E18</f>
        <v>690828.85599999991</v>
      </c>
      <c r="F33" s="54">
        <f t="shared" si="31"/>
        <v>864054</v>
      </c>
      <c r="G33" s="54">
        <f t="shared" si="31"/>
        <v>893929</v>
      </c>
      <c r="H33" s="54">
        <f t="shared" si="31"/>
        <v>870027.13699999987</v>
      </c>
      <c r="I33" s="54">
        <f t="shared" ref="I33:M33" si="32">I11+I12+I13+I14+I15+I17+I18</f>
        <v>891931.18500000006</v>
      </c>
      <c r="J33" s="54">
        <f t="shared" si="32"/>
        <v>821130.68800000008</v>
      </c>
      <c r="K33" s="54">
        <f t="shared" si="32"/>
        <v>899561.89500000014</v>
      </c>
      <c r="L33" s="54">
        <f t="shared" si="32"/>
        <v>971130.46600000013</v>
      </c>
      <c r="M33" s="54">
        <f t="shared" si="32"/>
        <v>947000.03100000008</v>
      </c>
      <c r="N33" s="54">
        <f t="shared" ref="N33:P33" si="33">N11+N12+N13+N14+N15+N17+N18</f>
        <v>819954.01800000004</v>
      </c>
      <c r="O33" s="54">
        <f t="shared" si="33"/>
        <v>665614.56499999994</v>
      </c>
      <c r="P33" s="54">
        <f t="shared" si="33"/>
        <v>752976.56904017203</v>
      </c>
      <c r="Q33" s="54">
        <f t="shared" ref="Q33:R33" si="34">Q11+Q12+Q13+Q14+Q15+Q17+Q18</f>
        <v>765427</v>
      </c>
      <c r="R33" s="150">
        <f t="shared" si="34"/>
        <v>1047999</v>
      </c>
      <c r="S33" s="150">
        <f t="shared" ref="S33" si="35">S11+S12+S13+S14+S15+S17+S18</f>
        <v>999623</v>
      </c>
    </row>
    <row r="34" spans="1:19" ht="14.25" customHeight="1" x14ac:dyDescent="0.3">
      <c r="A34" s="52" t="s">
        <v>1</v>
      </c>
      <c r="B34" s="49">
        <f>SUBTOTAL(109,B28:B33)</f>
        <v>101064948.27999999</v>
      </c>
      <c r="C34" s="49">
        <f>SUBTOTAL(109,C28:C33)</f>
        <v>76857334</v>
      </c>
      <c r="D34" s="49">
        <f>SUBTOTAL(109,D28:D33)</f>
        <v>77936775.386999995</v>
      </c>
      <c r="E34" s="49">
        <f t="shared" ref="E34:H34" si="36">SUBTOTAL(109,E28:E33)</f>
        <v>80885507.387000024</v>
      </c>
      <c r="F34" s="49">
        <f t="shared" si="36"/>
        <v>81772128.794</v>
      </c>
      <c r="G34" s="49">
        <f t="shared" si="36"/>
        <v>83918558</v>
      </c>
      <c r="H34" s="49">
        <f t="shared" si="36"/>
        <v>87425313.256999999</v>
      </c>
      <c r="I34" s="49">
        <f t="shared" ref="I34" si="37">SUBTOTAL(109,I28:I33)</f>
        <v>88293846.042999998</v>
      </c>
      <c r="J34" s="49">
        <f t="shared" ref="J34" si="38">SUBTOTAL(109,J28:J33)</f>
        <v>89207239.277999997</v>
      </c>
      <c r="K34" s="49">
        <f t="shared" ref="K34" si="39">SUBTOTAL(109,K28:K33)</f>
        <v>88875540.685000002</v>
      </c>
      <c r="L34" s="49">
        <f t="shared" ref="L34" si="40">SUBTOTAL(109,L28:L33)</f>
        <v>88544302.616000012</v>
      </c>
      <c r="M34" s="49">
        <f t="shared" ref="M34" si="41">SUBTOTAL(109,M28:M33)</f>
        <v>91106256.892999992</v>
      </c>
      <c r="N34" s="49">
        <f t="shared" ref="N34" si="42">SUBTOTAL(109,N28:N33)</f>
        <v>90643770.502000019</v>
      </c>
      <c r="O34" s="49">
        <f t="shared" ref="O34" si="43">SUBTOTAL(109,O28:O33)</f>
        <v>91316668.831</v>
      </c>
      <c r="P34" s="49">
        <f t="shared" ref="P34:Q34" si="44">SUBTOTAL(109,P28:P33)</f>
        <v>91782808.220000014</v>
      </c>
      <c r="Q34" s="49">
        <f t="shared" si="44"/>
        <v>88320101</v>
      </c>
      <c r="R34" s="151">
        <f t="shared" ref="R34:S34" si="45">SUBTOTAL(109,R28:R33)</f>
        <v>87452602</v>
      </c>
      <c r="S34" s="151">
        <f t="shared" si="45"/>
        <v>94035658</v>
      </c>
    </row>
    <row r="35" spans="1:19" ht="14.25" customHeight="1" x14ac:dyDescent="0.3">
      <c r="A35" s="52"/>
      <c r="B35" s="49"/>
      <c r="C35" s="49"/>
      <c r="D35" s="49"/>
      <c r="E35" s="49"/>
      <c r="F35" s="49"/>
      <c r="G35" s="49"/>
      <c r="H35" s="49"/>
      <c r="I35" s="49"/>
      <c r="J35" s="49"/>
      <c r="K35" s="49"/>
      <c r="L35" s="49"/>
      <c r="M35" s="49"/>
      <c r="N35" s="49"/>
      <c r="O35" s="71"/>
      <c r="P35" s="71"/>
    </row>
    <row r="36" spans="1:19" ht="14.25" customHeight="1" x14ac:dyDescent="0.3">
      <c r="A36" s="88" t="s">
        <v>23</v>
      </c>
      <c r="B36" s="49"/>
      <c r="C36" s="49"/>
      <c r="D36" s="49"/>
      <c r="E36" s="49"/>
      <c r="F36" s="49"/>
      <c r="G36" s="49"/>
      <c r="H36" s="49"/>
      <c r="I36" s="49"/>
      <c r="J36" s="49"/>
      <c r="K36" s="49"/>
      <c r="L36" s="49"/>
      <c r="M36" s="49"/>
      <c r="N36" s="49"/>
      <c r="O36" s="71"/>
      <c r="P36" s="71"/>
    </row>
    <row r="37" spans="1:19" ht="14.25" customHeight="1" x14ac:dyDescent="0.3">
      <c r="A37" s="88"/>
      <c r="B37" s="49"/>
      <c r="C37" s="49"/>
      <c r="D37" s="49"/>
      <c r="E37" s="49"/>
      <c r="F37" s="49"/>
      <c r="G37" s="49"/>
      <c r="H37" s="49"/>
      <c r="I37" s="49"/>
      <c r="J37" s="49"/>
      <c r="K37" s="49"/>
      <c r="L37" s="49"/>
      <c r="M37" s="49"/>
      <c r="N37" s="49"/>
      <c r="O37" s="71"/>
      <c r="P37" s="71"/>
    </row>
    <row r="38" spans="1:19" ht="14.25" customHeight="1" x14ac:dyDescent="0.3">
      <c r="A38" s="42" t="s">
        <v>38</v>
      </c>
    </row>
    <row r="39" spans="1:19" ht="14.25" customHeight="1" x14ac:dyDescent="0.3">
      <c r="A39" s="55" t="s">
        <v>0</v>
      </c>
      <c r="B39" s="55" t="s">
        <v>13</v>
      </c>
      <c r="C39" s="55" t="s">
        <v>14</v>
      </c>
      <c r="D39" s="55" t="s">
        <v>15</v>
      </c>
      <c r="E39" s="55" t="s">
        <v>16</v>
      </c>
      <c r="F39" s="55" t="s">
        <v>17</v>
      </c>
      <c r="G39" s="55" t="s">
        <v>18</v>
      </c>
      <c r="H39" s="55" t="s">
        <v>19</v>
      </c>
      <c r="I39" s="55" t="s">
        <v>20</v>
      </c>
      <c r="J39" s="55" t="s">
        <v>21</v>
      </c>
      <c r="K39" s="55" t="s">
        <v>22</v>
      </c>
      <c r="L39" s="55" t="s">
        <v>27</v>
      </c>
      <c r="M39" s="55" t="s">
        <v>28</v>
      </c>
      <c r="N39" s="55" t="s">
        <v>36</v>
      </c>
      <c r="O39" s="62" t="s">
        <v>53</v>
      </c>
      <c r="P39" s="72" t="s">
        <v>55</v>
      </c>
      <c r="Q39" s="134" t="s">
        <v>67</v>
      </c>
      <c r="R39" s="152" t="s">
        <v>82</v>
      </c>
      <c r="S39" s="171" t="s">
        <v>92</v>
      </c>
    </row>
    <row r="40" spans="1:19" ht="14.25" customHeight="1" x14ac:dyDescent="0.3">
      <c r="A40" s="56" t="s">
        <v>40</v>
      </c>
      <c r="B40" s="57">
        <f t="shared" ref="B40:P40" si="46">B6/B$19</f>
        <v>0.67174460725900254</v>
      </c>
      <c r="C40" s="57">
        <f t="shared" si="46"/>
        <v>0.59660480807205729</v>
      </c>
      <c r="D40" s="57">
        <f t="shared" si="46"/>
        <v>0.72288904343606653</v>
      </c>
      <c r="E40" s="57">
        <f t="shared" si="46"/>
        <v>0.66576176024154965</v>
      </c>
      <c r="F40" s="57">
        <f t="shared" si="46"/>
        <v>0.66198809788075286</v>
      </c>
      <c r="G40" s="57">
        <f t="shared" si="46"/>
        <v>0.65947597669635838</v>
      </c>
      <c r="H40" s="57">
        <f t="shared" si="46"/>
        <v>0.68183374790741358</v>
      </c>
      <c r="I40" s="57">
        <f t="shared" si="46"/>
        <v>0.67052971020389374</v>
      </c>
      <c r="J40" s="57">
        <f t="shared" si="46"/>
        <v>0.65281192951749445</v>
      </c>
      <c r="K40" s="57">
        <f t="shared" si="46"/>
        <v>0.64376284587438171</v>
      </c>
      <c r="L40" s="57">
        <f t="shared" si="46"/>
        <v>0.60322481669586714</v>
      </c>
      <c r="M40" s="57">
        <f t="shared" si="46"/>
        <v>0.73373002968949896</v>
      </c>
      <c r="N40" s="57">
        <f t="shared" si="46"/>
        <v>0.69485785965413116</v>
      </c>
      <c r="O40" s="57">
        <f t="shared" si="46"/>
        <v>0.63596815203014689</v>
      </c>
      <c r="P40" s="57">
        <f t="shared" si="46"/>
        <v>0.65070796728017344</v>
      </c>
      <c r="Q40" s="135">
        <f t="shared" ref="Q40:R40" si="47">Q6/Q$19</f>
        <v>0.62620919104247852</v>
      </c>
      <c r="R40" s="153">
        <f t="shared" si="47"/>
        <v>0.6368912385248412</v>
      </c>
      <c r="S40" s="170">
        <f t="shared" ref="S40" si="48">S6/S$19</f>
        <v>0.67681656462700568</v>
      </c>
    </row>
    <row r="41" spans="1:19" ht="14.25" customHeight="1" x14ac:dyDescent="0.3">
      <c r="A41" s="58" t="s">
        <v>3</v>
      </c>
      <c r="B41" s="57">
        <f t="shared" ref="B41:P41" si="49">B7/B$19</f>
        <v>0.16072276834296326</v>
      </c>
      <c r="C41" s="57">
        <f t="shared" si="49"/>
        <v>0.17237100625946769</v>
      </c>
      <c r="D41" s="57">
        <f t="shared" si="49"/>
        <v>0.12928956263541749</v>
      </c>
      <c r="E41" s="57">
        <f t="shared" si="49"/>
        <v>0.17724144831542635</v>
      </c>
      <c r="F41" s="57">
        <f t="shared" si="49"/>
        <v>0.17682065042509842</v>
      </c>
      <c r="G41" s="57">
        <f t="shared" si="49"/>
        <v>0.17707664852868421</v>
      </c>
      <c r="H41" s="57">
        <f t="shared" si="49"/>
        <v>0.16294122913948395</v>
      </c>
      <c r="I41" s="57">
        <f t="shared" si="49"/>
        <v>0.1683768197475484</v>
      </c>
      <c r="J41" s="57">
        <f t="shared" si="49"/>
        <v>0.16853914684150373</v>
      </c>
      <c r="K41" s="57">
        <f t="shared" si="49"/>
        <v>0.1650957382302197</v>
      </c>
      <c r="L41" s="57">
        <f t="shared" si="49"/>
        <v>0.18019417862710557</v>
      </c>
      <c r="M41" s="57">
        <f t="shared" si="49"/>
        <v>0.14159989334378198</v>
      </c>
      <c r="N41" s="57">
        <f t="shared" si="49"/>
        <v>0.13403302152718738</v>
      </c>
      <c r="O41" s="57">
        <f t="shared" si="49"/>
        <v>0.14805458687965523</v>
      </c>
      <c r="P41" s="57">
        <f t="shared" si="49"/>
        <v>0.15282316846346372</v>
      </c>
      <c r="Q41" s="135">
        <f t="shared" ref="Q41:R41" si="50">Q7/Q$19</f>
        <v>0.16291866559346438</v>
      </c>
      <c r="R41" s="153">
        <f t="shared" si="50"/>
        <v>0.14636250617220056</v>
      </c>
      <c r="S41" s="170">
        <f t="shared" ref="S41" si="51">S7/S$19</f>
        <v>0.13392194267412899</v>
      </c>
    </row>
    <row r="42" spans="1:19" ht="14.25" customHeight="1" x14ac:dyDescent="0.3">
      <c r="A42" s="56" t="s">
        <v>4</v>
      </c>
      <c r="B42" s="57">
        <f t="shared" ref="B42:P42" si="52">B8/B$19</f>
        <v>5.3712539237248606E-2</v>
      </c>
      <c r="C42" s="57">
        <f t="shared" si="52"/>
        <v>7.7477641886459392E-2</v>
      </c>
      <c r="D42" s="57">
        <f t="shared" si="52"/>
        <v>5.0961191302540031E-2</v>
      </c>
      <c r="E42" s="57">
        <f t="shared" si="52"/>
        <v>4.438982360364184E-2</v>
      </c>
      <c r="F42" s="57">
        <f t="shared" si="52"/>
        <v>3.3230400370833718E-2</v>
      </c>
      <c r="G42" s="57">
        <f t="shared" si="52"/>
        <v>3.1705263572331638E-2</v>
      </c>
      <c r="H42" s="57">
        <f t="shared" si="52"/>
        <v>3.1644319659083285E-2</v>
      </c>
      <c r="I42" s="57">
        <f t="shared" si="52"/>
        <v>2.4433206216312883E-2</v>
      </c>
      <c r="J42" s="57">
        <f t="shared" si="52"/>
        <v>1.833142871851311E-2</v>
      </c>
      <c r="K42" s="57">
        <f t="shared" si="52"/>
        <v>2.1010896514468837E-2</v>
      </c>
      <c r="L42" s="57">
        <f t="shared" si="52"/>
        <v>1.9557756702993961E-2</v>
      </c>
      <c r="M42" s="57">
        <f t="shared" si="52"/>
        <v>1.4478201728221233E-2</v>
      </c>
      <c r="N42" s="57">
        <f t="shared" si="52"/>
        <v>5.3683677687399733E-3</v>
      </c>
      <c r="O42" s="57">
        <f t="shared" si="52"/>
        <v>1.2336358130680873E-2</v>
      </c>
      <c r="P42" s="57">
        <f t="shared" si="52"/>
        <v>1.009656505365096E-2</v>
      </c>
      <c r="Q42" s="135">
        <f t="shared" ref="Q42:R42" si="53">Q8/Q$19</f>
        <v>0</v>
      </c>
      <c r="R42" s="153">
        <f t="shared" si="53"/>
        <v>0</v>
      </c>
      <c r="S42" s="170">
        <f t="shared" ref="S42" si="54">S8/S$19</f>
        <v>0</v>
      </c>
    </row>
    <row r="43" spans="1:19" ht="14.25" customHeight="1" x14ac:dyDescent="0.3">
      <c r="A43" s="58" t="s">
        <v>5</v>
      </c>
      <c r="B43" s="57">
        <f t="shared" ref="B43:P43" si="55">B9/B$19</f>
        <v>5.2872330525473063E-2</v>
      </c>
      <c r="C43" s="57">
        <f t="shared" si="55"/>
        <v>7.6877087617949383E-2</v>
      </c>
      <c r="D43" s="57">
        <f t="shared" si="55"/>
        <v>3.380083105721373E-2</v>
      </c>
      <c r="E43" s="57">
        <f t="shared" si="55"/>
        <v>5.4035979784216155E-2</v>
      </c>
      <c r="F43" s="57">
        <f t="shared" si="55"/>
        <v>5.7012521060135039E-2</v>
      </c>
      <c r="G43" s="57">
        <f t="shared" si="55"/>
        <v>6.3460039434900681E-2</v>
      </c>
      <c r="H43" s="57">
        <f t="shared" si="55"/>
        <v>5.2083846100893588E-2</v>
      </c>
      <c r="I43" s="57">
        <f t="shared" si="55"/>
        <v>7.1380310094665569E-2</v>
      </c>
      <c r="J43" s="57">
        <f t="shared" si="55"/>
        <v>8.2793252002603471E-2</v>
      </c>
      <c r="K43" s="57">
        <f t="shared" si="55"/>
        <v>0.11228449273090349</v>
      </c>
      <c r="L43" s="57">
        <f t="shared" si="55"/>
        <v>0.11831655880145735</v>
      </c>
      <c r="M43" s="57">
        <f t="shared" si="55"/>
        <v>6.2391137116694986E-2</v>
      </c>
      <c r="N43" s="57">
        <f t="shared" si="55"/>
        <v>7.6705517494405059E-2</v>
      </c>
      <c r="O43" s="57">
        <f t="shared" si="55"/>
        <v>0.11852464027165358</v>
      </c>
      <c r="P43" s="57">
        <f t="shared" si="55"/>
        <v>0.10367728635976298</v>
      </c>
      <c r="Q43" s="135">
        <f t="shared" ref="Q43:R43" si="56">Q9/Q$19</f>
        <v>0.13369363107952062</v>
      </c>
      <c r="R43" s="153">
        <f t="shared" si="56"/>
        <v>0.11362853446030113</v>
      </c>
      <c r="S43" s="170">
        <f t="shared" ref="S43" si="57">S9/S$19</f>
        <v>0.1082767985735794</v>
      </c>
    </row>
    <row r="44" spans="1:19" ht="14.25" customHeight="1" x14ac:dyDescent="0.3">
      <c r="A44" s="56" t="s">
        <v>6</v>
      </c>
      <c r="B44" s="57">
        <f t="shared" ref="B44:P44" si="58">B10/B$19</f>
        <v>4.240777067560382E-2</v>
      </c>
      <c r="C44" s="57">
        <f t="shared" si="58"/>
        <v>5.1724029355480899E-2</v>
      </c>
      <c r="D44" s="57">
        <f t="shared" si="58"/>
        <v>4.9510843999373895E-2</v>
      </c>
      <c r="E44" s="57">
        <f t="shared" si="58"/>
        <v>4.6067279100716542E-2</v>
      </c>
      <c r="F44" s="57">
        <f t="shared" si="58"/>
        <v>5.6144704408586564E-2</v>
      </c>
      <c r="G44" s="57">
        <f t="shared" si="58"/>
        <v>5.2473935503038555E-2</v>
      </c>
      <c r="H44" s="57">
        <f t="shared" si="58"/>
        <v>5.1623675476377369E-2</v>
      </c>
      <c r="I44" s="57">
        <f t="shared" si="58"/>
        <v>4.8998488500467688E-2</v>
      </c>
      <c r="J44" s="57">
        <f t="shared" si="58"/>
        <v>5.6987135137738953E-2</v>
      </c>
      <c r="K44" s="57">
        <f t="shared" si="58"/>
        <v>4.1108509403607232E-2</v>
      </c>
      <c r="L44" s="57">
        <f t="shared" si="58"/>
        <v>6.133220640464656E-2</v>
      </c>
      <c r="M44" s="57">
        <f t="shared" si="58"/>
        <v>2.62357888526496E-2</v>
      </c>
      <c r="N44" s="57">
        <f t="shared" si="58"/>
        <v>4.6769875398182593E-2</v>
      </c>
      <c r="O44" s="57">
        <f t="shared" si="58"/>
        <v>4.6514006187204068E-2</v>
      </c>
      <c r="P44" s="57">
        <f t="shared" si="58"/>
        <v>5.0307798214311923E-2</v>
      </c>
      <c r="Q44" s="135">
        <f t="shared" ref="Q44:R44" si="59">Q10/Q$19</f>
        <v>4.5538387688211543E-2</v>
      </c>
      <c r="R44" s="153">
        <f t="shared" si="59"/>
        <v>4.9268368252782233E-2</v>
      </c>
      <c r="S44" s="170">
        <f t="shared" ref="S44" si="60">S10/S$19</f>
        <v>4.1917556423117709E-2</v>
      </c>
    </row>
    <row r="45" spans="1:19" ht="14.25" customHeight="1" x14ac:dyDescent="0.3">
      <c r="A45" s="58" t="s">
        <v>7</v>
      </c>
      <c r="B45" s="57">
        <f t="shared" ref="B45:P45" si="61">B11/B$19</f>
        <v>1.0888730749172855E-2</v>
      </c>
      <c r="C45" s="57">
        <f t="shared" si="61"/>
        <v>1.2198120221031866E-2</v>
      </c>
      <c r="D45" s="57">
        <f t="shared" si="61"/>
        <v>5.0345735123325294E-3</v>
      </c>
      <c r="E45" s="57">
        <f t="shared" si="61"/>
        <v>5.3742624735004787E-3</v>
      </c>
      <c r="F45" s="57">
        <f t="shared" si="61"/>
        <v>6.5626639285851149E-3</v>
      </c>
      <c r="G45" s="57">
        <f t="shared" si="61"/>
        <v>6.9958899913413666E-3</v>
      </c>
      <c r="H45" s="57">
        <f t="shared" si="61"/>
        <v>4.4919713223739149E-3</v>
      </c>
      <c r="I45" s="57">
        <f t="shared" si="61"/>
        <v>5.2210093982710485E-3</v>
      </c>
      <c r="J45" s="57">
        <f t="shared" si="61"/>
        <v>4.65461977481464E-3</v>
      </c>
      <c r="K45" s="57">
        <f t="shared" si="61"/>
        <v>5.0078614945081052E-3</v>
      </c>
      <c r="L45" s="57">
        <f t="shared" si="61"/>
        <v>5.5607354900667327E-3</v>
      </c>
      <c r="M45" s="57">
        <f t="shared" si="61"/>
        <v>4.9051469486321971E-3</v>
      </c>
      <c r="N45" s="57">
        <f t="shared" si="61"/>
        <v>3.4289364429422324E-3</v>
      </c>
      <c r="O45" s="57">
        <f t="shared" si="61"/>
        <v>2.8578813084277292E-3</v>
      </c>
      <c r="P45" s="57">
        <f t="shared" si="61"/>
        <v>3.2731226879535685E-3</v>
      </c>
      <c r="Q45" s="135">
        <f t="shared" ref="Q45:R45" si="62">Q11/Q$19</f>
        <v>4.5449223388003149E-3</v>
      </c>
      <c r="R45" s="153">
        <f t="shared" si="62"/>
        <v>7.7258879043987736E-3</v>
      </c>
      <c r="S45" s="170">
        <f t="shared" ref="S45" si="63">S11/S$19</f>
        <v>5.9797635488444177E-3</v>
      </c>
    </row>
    <row r="46" spans="1:19" ht="14.25" customHeight="1" x14ac:dyDescent="0.3">
      <c r="A46" s="56" t="s">
        <v>8</v>
      </c>
      <c r="B46" s="57">
        <f t="shared" ref="B46:P46" si="64">B12/B$19</f>
        <v>3.9715372820255113E-3</v>
      </c>
      <c r="C46" s="57">
        <f t="shared" si="64"/>
        <v>6.3708949363244895E-3</v>
      </c>
      <c r="D46" s="57">
        <f t="shared" si="64"/>
        <v>2.8541305294638056E-4</v>
      </c>
      <c r="E46" s="57">
        <f t="shared" si="64"/>
        <v>4.3217818777778108E-4</v>
      </c>
      <c r="F46" s="57">
        <f t="shared" si="64"/>
        <v>6.4870513685210838E-4</v>
      </c>
      <c r="G46" s="57">
        <f t="shared" si="64"/>
        <v>5.2709437643101546E-4</v>
      </c>
      <c r="H46" s="57">
        <f t="shared" si="64"/>
        <v>7.1182717775411812E-4</v>
      </c>
      <c r="I46" s="57">
        <f t="shared" si="64"/>
        <v>7.8450837860507454E-4</v>
      </c>
      <c r="J46" s="57">
        <f t="shared" si="64"/>
        <v>7.8398006222402583E-4</v>
      </c>
      <c r="K46" s="57">
        <f t="shared" si="64"/>
        <v>1.0617143960275869E-3</v>
      </c>
      <c r="L46" s="57">
        <f t="shared" si="64"/>
        <v>9.1900213334896092E-4</v>
      </c>
      <c r="M46" s="57">
        <f t="shared" si="64"/>
        <v>7.5230271045485266E-4</v>
      </c>
      <c r="N46" s="57">
        <f t="shared" si="64"/>
        <v>7.4555115730218745E-4</v>
      </c>
      <c r="O46" s="57">
        <f t="shared" si="64"/>
        <v>7.0755229934609551E-4</v>
      </c>
      <c r="P46" s="57">
        <f t="shared" si="64"/>
        <v>6.5017019177319795E-4</v>
      </c>
      <c r="Q46" s="135">
        <f t="shared" ref="Q46:R46" si="65">Q12/Q$19</f>
        <v>5.3337801323392962E-4</v>
      </c>
      <c r="R46" s="153">
        <f t="shared" si="65"/>
        <v>7.0767476992851508E-4</v>
      </c>
      <c r="S46" s="170">
        <f t="shared" ref="S46" si="66">S12/S$19</f>
        <v>1.0979239385978455E-3</v>
      </c>
    </row>
    <row r="47" spans="1:19" ht="14.25" customHeight="1" x14ac:dyDescent="0.3">
      <c r="A47" s="58" t="s">
        <v>9</v>
      </c>
      <c r="B47" s="57">
        <f t="shared" ref="B47:P47" si="67">B13/B$19</f>
        <v>1.5820321755573555E-3</v>
      </c>
      <c r="C47" s="57">
        <f t="shared" si="67"/>
        <v>3.079289739610276E-3</v>
      </c>
      <c r="D47" s="57">
        <f t="shared" si="67"/>
        <v>3.011582386293475E-4</v>
      </c>
      <c r="E47" s="57">
        <f t="shared" si="67"/>
        <v>1.7191759746857846E-3</v>
      </c>
      <c r="F47" s="57">
        <f t="shared" si="67"/>
        <v>1.2579347207547274E-3</v>
      </c>
      <c r="G47" s="57">
        <f t="shared" si="67"/>
        <v>1.7988273821387636E-3</v>
      </c>
      <c r="H47" s="57">
        <f t="shared" si="67"/>
        <v>3.7971039237130817E-3</v>
      </c>
      <c r="I47" s="57">
        <f t="shared" si="67"/>
        <v>3.2678155152453541E-3</v>
      </c>
      <c r="J47" s="57">
        <f t="shared" si="67"/>
        <v>3.1014176230452092E-3</v>
      </c>
      <c r="K47" s="57">
        <f t="shared" si="67"/>
        <v>3.3325198104813083E-3</v>
      </c>
      <c r="L47" s="57">
        <f t="shared" si="67"/>
        <v>3.7576577732272676E-3</v>
      </c>
      <c r="M47" s="57">
        <f t="shared" si="67"/>
        <v>3.6984032984225131E-3</v>
      </c>
      <c r="N47" s="57">
        <f t="shared" si="67"/>
        <v>3.343485915486194E-3</v>
      </c>
      <c r="O47" s="57">
        <f t="shared" si="67"/>
        <v>2.430162508563441E-3</v>
      </c>
      <c r="P47" s="57">
        <f t="shared" si="67"/>
        <v>2.2222064671045105E-3</v>
      </c>
      <c r="Q47" s="135">
        <f t="shared" ref="Q47:R47" si="68">Q13/Q$19</f>
        <v>1.7989902434554508E-3</v>
      </c>
      <c r="R47" s="153">
        <f t="shared" si="68"/>
        <v>1.2658171108505154E-3</v>
      </c>
      <c r="S47" s="170">
        <f t="shared" ref="S47" si="69">S13/S$19</f>
        <v>1.837100985670776E-3</v>
      </c>
    </row>
    <row r="48" spans="1:19" ht="14.25" customHeight="1" x14ac:dyDescent="0.3">
      <c r="A48" s="56" t="s">
        <v>10</v>
      </c>
      <c r="B48" s="57">
        <f t="shared" ref="B48:P48" si="70">B14/B$19</f>
        <v>1.4151721485450308E-3</v>
      </c>
      <c r="C48" s="57">
        <f t="shared" si="70"/>
        <v>2.0658926316647936E-3</v>
      </c>
      <c r="D48" s="57">
        <f t="shared" si="70"/>
        <v>0</v>
      </c>
      <c r="E48" s="57">
        <f t="shared" si="70"/>
        <v>0</v>
      </c>
      <c r="F48" s="57">
        <f t="shared" si="70"/>
        <v>0</v>
      </c>
      <c r="G48" s="57">
        <f t="shared" si="70"/>
        <v>0</v>
      </c>
      <c r="H48" s="57">
        <f t="shared" si="70"/>
        <v>1.647058439204055E-4</v>
      </c>
      <c r="I48" s="57">
        <f t="shared" si="70"/>
        <v>1.2672518529265129E-4</v>
      </c>
      <c r="J48" s="57">
        <f t="shared" si="70"/>
        <v>1.8906175257190543E-4</v>
      </c>
      <c r="K48" s="57">
        <f t="shared" si="70"/>
        <v>2.164519940101673E-4</v>
      </c>
      <c r="L48" s="57">
        <f t="shared" si="70"/>
        <v>1.9623690612093888E-4</v>
      </c>
      <c r="M48" s="57">
        <f t="shared" si="70"/>
        <v>1.9874598756994071E-4</v>
      </c>
      <c r="N48" s="57">
        <f t="shared" si="70"/>
        <v>1.8758244395432371E-4</v>
      </c>
      <c r="O48" s="57">
        <f t="shared" si="70"/>
        <v>1.7672719785548563E-4</v>
      </c>
      <c r="P48" s="57">
        <f t="shared" si="70"/>
        <v>1.9514826738649554E-4</v>
      </c>
      <c r="Q48" s="135">
        <f t="shared" ref="Q48:R48" si="71">Q14/Q$19</f>
        <v>1.8212162144153345E-4</v>
      </c>
      <c r="R48" s="153">
        <f t="shared" si="71"/>
        <v>0</v>
      </c>
      <c r="S48" s="170">
        <f t="shared" ref="S48" si="72">S14/S$19</f>
        <v>0</v>
      </c>
    </row>
    <row r="49" spans="1:19" ht="11.25" customHeight="1" x14ac:dyDescent="0.3">
      <c r="A49" s="58" t="s">
        <v>11</v>
      </c>
      <c r="B49" s="57">
        <f t="shared" ref="B49:P49" si="73">B15/B$19</f>
        <v>6.8251160440805606E-4</v>
      </c>
      <c r="C49" s="57">
        <f t="shared" si="73"/>
        <v>9.2127837793592993E-4</v>
      </c>
      <c r="D49" s="57">
        <f t="shared" si="73"/>
        <v>2.8318513167124703E-3</v>
      </c>
      <c r="E49" s="57">
        <f t="shared" si="73"/>
        <v>9.2877701366900353E-4</v>
      </c>
      <c r="F49" s="57">
        <f t="shared" si="73"/>
        <v>1.6401921043034061E-3</v>
      </c>
      <c r="G49" s="57">
        <f t="shared" si="73"/>
        <v>9.592633848641679E-4</v>
      </c>
      <c r="H49" s="57">
        <f t="shared" si="73"/>
        <v>6.6179805189737096E-4</v>
      </c>
      <c r="I49" s="57">
        <f t="shared" si="73"/>
        <v>5.5542676186193826E-4</v>
      </c>
      <c r="J49" s="57">
        <f t="shared" si="73"/>
        <v>2.5830910345953057E-4</v>
      </c>
      <c r="K49" s="57">
        <f t="shared" si="73"/>
        <v>1.8068367152797817E-4</v>
      </c>
      <c r="L49" s="57">
        <f t="shared" si="73"/>
        <v>2.1218061970037022E-4</v>
      </c>
      <c r="M49" s="57">
        <f t="shared" si="73"/>
        <v>5.4013262840766469E-4</v>
      </c>
      <c r="N49" s="57">
        <f t="shared" si="73"/>
        <v>9.2300684908240842E-4</v>
      </c>
      <c r="O49" s="57">
        <f t="shared" si="73"/>
        <v>6.6517097894157611E-4</v>
      </c>
      <c r="P49" s="57">
        <f t="shared" si="73"/>
        <v>1.1378089071497816E-3</v>
      </c>
      <c r="Q49" s="135">
        <f t="shared" ref="Q49:R49" si="74">Q15/Q$19</f>
        <v>1.5073805225834151E-3</v>
      </c>
      <c r="R49" s="153">
        <f t="shared" si="74"/>
        <v>1.6943692538730867E-3</v>
      </c>
      <c r="S49" s="170">
        <f t="shared" ref="S49" si="75">S15/S$19</f>
        <v>1.292764921153633E-3</v>
      </c>
    </row>
    <row r="50" spans="1:19" ht="14.25" customHeight="1" x14ac:dyDescent="0.3">
      <c r="A50" s="56" t="s">
        <v>12</v>
      </c>
      <c r="B50" s="57">
        <f t="shared" ref="B50:P50" si="76">B16/B$19</f>
        <v>0</v>
      </c>
      <c r="C50" s="57">
        <f t="shared" si="76"/>
        <v>3.0995090201801689E-4</v>
      </c>
      <c r="D50" s="57">
        <f t="shared" si="76"/>
        <v>2.0931643526428366E-3</v>
      </c>
      <c r="E50" s="57">
        <f t="shared" si="76"/>
        <v>3.962885285077873E-3</v>
      </c>
      <c r="F50" s="57">
        <f t="shared" si="76"/>
        <v>4.2370182250339328E-3</v>
      </c>
      <c r="G50" s="57">
        <f t="shared" si="76"/>
        <v>5.1557964091804341E-3</v>
      </c>
      <c r="H50" s="57">
        <f t="shared" si="76"/>
        <v>9.9215200687948271E-3</v>
      </c>
      <c r="I50" s="57">
        <f t="shared" si="76"/>
        <v>6.1796152784450746E-3</v>
      </c>
      <c r="J50" s="57">
        <f t="shared" si="76"/>
        <v>1.1332353833410377E-2</v>
      </c>
      <c r="K50" s="57">
        <f t="shared" si="76"/>
        <v>6.615925995702425E-3</v>
      </c>
      <c r="L50" s="57">
        <f t="shared" si="76"/>
        <v>6.4067475516769367E-3</v>
      </c>
      <c r="M50" s="57">
        <f t="shared" si="76"/>
        <v>1.1170492693989644E-2</v>
      </c>
      <c r="N50" s="57">
        <f t="shared" si="76"/>
        <v>3.3219463293768882E-2</v>
      </c>
      <c r="O50" s="57">
        <f t="shared" si="76"/>
        <v>3.1313175837501539E-2</v>
      </c>
      <c r="P50" s="57">
        <f t="shared" si="76"/>
        <v>2.4183319110041498E-2</v>
      </c>
      <c r="Q50" s="135">
        <f t="shared" ref="Q50:R50" si="77">Q16/Q$19</f>
        <v>2.2973615032437521E-2</v>
      </c>
      <c r="R50" s="153">
        <f t="shared" si="77"/>
        <v>4.1865729735520045E-2</v>
      </c>
      <c r="S50" s="170">
        <f t="shared" ref="S50" si="78">S16/S$19</f>
        <v>2.8436882953485582E-2</v>
      </c>
    </row>
    <row r="51" spans="1:19" ht="14.25" customHeight="1" x14ac:dyDescent="0.3">
      <c r="A51" s="58" t="s">
        <v>2</v>
      </c>
      <c r="B51" s="57">
        <f t="shared" ref="B51:P51" si="79">B17/B$19</f>
        <v>0</v>
      </c>
      <c r="C51" s="57">
        <f t="shared" si="79"/>
        <v>0</v>
      </c>
      <c r="D51" s="57">
        <f t="shared" si="79"/>
        <v>3.0023670961248261E-3</v>
      </c>
      <c r="E51" s="57">
        <f t="shared" si="79"/>
        <v>8.643001973828983E-5</v>
      </c>
      <c r="F51" s="57">
        <f t="shared" si="79"/>
        <v>4.5711173906411336E-4</v>
      </c>
      <c r="G51" s="57">
        <f t="shared" si="79"/>
        <v>3.7126472073078284E-4</v>
      </c>
      <c r="H51" s="57">
        <f t="shared" si="79"/>
        <v>1.2425532829452244E-4</v>
      </c>
      <c r="I51" s="57">
        <f t="shared" si="79"/>
        <v>1.4636471939059395E-4</v>
      </c>
      <c r="J51" s="57">
        <f t="shared" si="79"/>
        <v>2.173656326206033E-4</v>
      </c>
      <c r="K51" s="57">
        <f t="shared" si="79"/>
        <v>3.2235988416141805E-4</v>
      </c>
      <c r="L51" s="57">
        <f t="shared" si="79"/>
        <v>3.2192229378798264E-4</v>
      </c>
      <c r="M51" s="57">
        <f t="shared" si="79"/>
        <v>2.9972500167656517E-4</v>
      </c>
      <c r="N51" s="57">
        <f t="shared" si="79"/>
        <v>4.0152243004053923E-4</v>
      </c>
      <c r="O51" s="57">
        <f t="shared" si="79"/>
        <v>4.3287092604259549E-4</v>
      </c>
      <c r="P51" s="57">
        <f t="shared" si="79"/>
        <v>6.5332980675588954E-4</v>
      </c>
      <c r="Q51" s="135">
        <f t="shared" ref="Q51:R51" si="80">Q17/Q$19</f>
        <v>0</v>
      </c>
      <c r="R51" s="153">
        <f t="shared" si="80"/>
        <v>5.4995504879317369E-4</v>
      </c>
      <c r="S51" s="170">
        <f t="shared" ref="S51" si="81">S17/S$19</f>
        <v>3.9004353008302448E-4</v>
      </c>
    </row>
    <row r="52" spans="1:19" ht="14.25" customHeight="1" x14ac:dyDescent="0.3">
      <c r="A52" s="56" t="s">
        <v>37</v>
      </c>
      <c r="B52" s="57">
        <f t="shared" ref="B52:P52" si="82">B18/B$19</f>
        <v>0</v>
      </c>
      <c r="C52" s="57">
        <f t="shared" si="82"/>
        <v>0</v>
      </c>
      <c r="D52" s="57">
        <f t="shared" si="82"/>
        <v>0</v>
      </c>
      <c r="E52" s="57">
        <f t="shared" si="82"/>
        <v>0</v>
      </c>
      <c r="F52" s="57">
        <f t="shared" si="82"/>
        <v>0</v>
      </c>
      <c r="G52" s="57">
        <f t="shared" si="82"/>
        <v>0</v>
      </c>
      <c r="H52" s="57">
        <f t="shared" si="82"/>
        <v>0</v>
      </c>
      <c r="I52" s="57">
        <f t="shared" si="82"/>
        <v>0</v>
      </c>
      <c r="J52" s="57">
        <f t="shared" si="82"/>
        <v>0</v>
      </c>
      <c r="K52" s="57">
        <f t="shared" si="82"/>
        <v>0</v>
      </c>
      <c r="L52" s="57">
        <f t="shared" si="82"/>
        <v>0</v>
      </c>
      <c r="M52" s="57">
        <f t="shared" si="82"/>
        <v>0</v>
      </c>
      <c r="N52" s="57">
        <f t="shared" si="82"/>
        <v>1.5809624776899372E-5</v>
      </c>
      <c r="O52" s="57">
        <f t="shared" si="82"/>
        <v>1.8715443980582662E-5</v>
      </c>
      <c r="P52" s="57">
        <f t="shared" si="82"/>
        <v>7.2109190472097767E-5</v>
      </c>
      <c r="Q52" s="135">
        <f t="shared" ref="Q52" si="83">Q18/Q$19</f>
        <v>9.9716824372743861E-5</v>
      </c>
      <c r="R52" s="155">
        <f>R18/R$19</f>
        <v>3.9918766510800903E-5</v>
      </c>
      <c r="S52" s="170">
        <f>S18/S$19</f>
        <v>3.2657824332978026E-5</v>
      </c>
    </row>
    <row r="53" spans="1:19" ht="14.25" customHeight="1" x14ac:dyDescent="0.3">
      <c r="A53" s="154" t="s">
        <v>1</v>
      </c>
      <c r="B53" s="154">
        <f>SUM(B40:B52)</f>
        <v>1</v>
      </c>
      <c r="C53" s="154">
        <f t="shared" ref="C53:N53" si="84">SUM(C40:C52)</f>
        <v>1</v>
      </c>
      <c r="D53" s="154">
        <f t="shared" si="84"/>
        <v>1</v>
      </c>
      <c r="E53" s="154">
        <f t="shared" si="84"/>
        <v>0.99999999999999956</v>
      </c>
      <c r="F53" s="154">
        <f t="shared" si="84"/>
        <v>1</v>
      </c>
      <c r="G53" s="154">
        <f t="shared" si="84"/>
        <v>1</v>
      </c>
      <c r="H53" s="154">
        <f t="shared" si="84"/>
        <v>1</v>
      </c>
      <c r="I53" s="154">
        <f t="shared" si="84"/>
        <v>1.0000000000000002</v>
      </c>
      <c r="J53" s="154">
        <f t="shared" si="84"/>
        <v>0.99999999999999989</v>
      </c>
      <c r="K53" s="154">
        <f t="shared" si="84"/>
        <v>1</v>
      </c>
      <c r="L53" s="154">
        <f t="shared" si="84"/>
        <v>0.99999999999999967</v>
      </c>
      <c r="M53" s="154">
        <f t="shared" si="84"/>
        <v>1.0000000000000002</v>
      </c>
      <c r="N53" s="154">
        <f t="shared" si="84"/>
        <v>0.99999999999999978</v>
      </c>
      <c r="O53" s="154">
        <f t="shared" ref="O53:P53" si="85">SUM(O40:O52)</f>
        <v>0.99999999999999956</v>
      </c>
      <c r="P53" s="154">
        <f t="shared" si="85"/>
        <v>1</v>
      </c>
      <c r="Q53" s="154">
        <f t="shared" ref="Q53:R53" si="86">SUM(Q40:Q52)</f>
        <v>0.99999999999999978</v>
      </c>
      <c r="R53" s="154">
        <f t="shared" si="86"/>
        <v>1.0000000000000002</v>
      </c>
      <c r="S53" s="170">
        <f t="shared" ref="S53" si="87">SUM(S40:S52)</f>
        <v>0.99999999999999989</v>
      </c>
    </row>
  </sheetData>
  <pageMargins left="0.7" right="0.7" top="0.75" bottom="0.75" header="0.3" footer="0.3"/>
  <pageSetup orientation="portrait" horizontalDpi="300" verticalDpi="300" r:id="rId1"/>
  <drawing r:id="rId2"/>
  <tableParts count="3">
    <tablePart r:id="rId3"/>
    <tablePart r:id="rId4"/>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52"/>
  <sheetViews>
    <sheetView zoomScaleNormal="100" workbookViewId="0">
      <pane xSplit="1" topLeftCell="B1" activePane="topRight" state="frozen"/>
      <selection pane="topRight" activeCell="D2" sqref="D2"/>
    </sheetView>
  </sheetViews>
  <sheetFormatPr defaultColWidth="17.5546875" defaultRowHeight="13.8" x14ac:dyDescent="0.3"/>
  <cols>
    <col min="1" max="21" width="17.5546875" style="79"/>
    <col min="22" max="22" width="14" style="79" customWidth="1"/>
    <col min="23" max="23" width="15.77734375" style="79" customWidth="1"/>
    <col min="24" max="16384" width="17.5546875" style="79"/>
  </cols>
  <sheetData>
    <row r="1" spans="1:37" x14ac:dyDescent="0.3">
      <c r="A1" s="35" t="s">
        <v>39</v>
      </c>
      <c r="B1" s="35"/>
      <c r="C1" s="35"/>
      <c r="D1" s="52" t="str">
        <f>'State Agg Fuel Mix 2000-2017'!D1</f>
        <v>Updated Dec 2018</v>
      </c>
      <c r="F1" s="27"/>
      <c r="H1" s="27"/>
      <c r="I1" s="27"/>
      <c r="J1" s="2"/>
    </row>
    <row r="2" spans="1:37" x14ac:dyDescent="0.3">
      <c r="A2" s="3" t="s">
        <v>42</v>
      </c>
      <c r="B2" s="4"/>
      <c r="C2" s="4"/>
      <c r="D2" s="4"/>
      <c r="F2" s="27"/>
      <c r="H2" s="5"/>
      <c r="P2" s="79" t="s">
        <v>62</v>
      </c>
    </row>
    <row r="3" spans="1:37" s="5" customFormat="1" x14ac:dyDescent="0.3">
      <c r="A3" s="35"/>
      <c r="B3" s="35"/>
      <c r="C3" s="35"/>
      <c r="D3" s="35"/>
      <c r="F3" s="36"/>
    </row>
    <row r="4" spans="1:37" x14ac:dyDescent="0.3">
      <c r="A4" s="6" t="s">
        <v>30</v>
      </c>
      <c r="B4" s="37">
        <v>2002</v>
      </c>
      <c r="C4" s="37">
        <v>2003</v>
      </c>
      <c r="D4" s="37">
        <v>2004</v>
      </c>
      <c r="E4" s="38">
        <v>2005</v>
      </c>
      <c r="F4" s="38">
        <v>2006</v>
      </c>
      <c r="G4" s="38">
        <v>2007</v>
      </c>
      <c r="H4" s="38">
        <v>2008</v>
      </c>
      <c r="I4" s="38">
        <v>2009</v>
      </c>
      <c r="J4" s="38">
        <v>2010</v>
      </c>
      <c r="K4" s="38">
        <v>2011</v>
      </c>
      <c r="L4" s="38">
        <v>2012</v>
      </c>
      <c r="M4" s="38">
        <v>2013</v>
      </c>
      <c r="N4" s="38">
        <v>2014</v>
      </c>
      <c r="O4" s="115">
        <v>2015</v>
      </c>
      <c r="P4" s="115">
        <v>2016</v>
      </c>
      <c r="Q4" s="115">
        <v>2017</v>
      </c>
    </row>
    <row r="5" spans="1:37" s="13" customFormat="1" x14ac:dyDescent="0.3">
      <c r="A5" s="13" t="s">
        <v>3</v>
      </c>
      <c r="B5" s="28">
        <v>12474006.074469</v>
      </c>
      <c r="C5" s="26">
        <v>16293364.723999999</v>
      </c>
      <c r="D5" s="26">
        <v>16451836.919</v>
      </c>
      <c r="E5" s="11">
        <v>16801894</v>
      </c>
      <c r="F5" s="11">
        <v>16192193</v>
      </c>
      <c r="G5" s="12">
        <v>16807612</v>
      </c>
      <c r="H5" s="17">
        <v>16623196</v>
      </c>
      <c r="I5" s="32">
        <v>16184895</v>
      </c>
      <c r="J5" s="10">
        <v>17446654.929000001</v>
      </c>
      <c r="K5" s="10">
        <v>14131167.890000001</v>
      </c>
      <c r="L5" s="83">
        <v>13315348.472999999</v>
      </c>
      <c r="M5" s="67">
        <v>14707901.372</v>
      </c>
      <c r="N5" s="90">
        <v>15388816.629212292</v>
      </c>
      <c r="O5" s="114">
        <v>15468167.475</v>
      </c>
      <c r="P5" s="13">
        <v>13786065</v>
      </c>
      <c r="Q5" s="128">
        <v>13222812.987</v>
      </c>
      <c r="V5" s="13" t="s">
        <v>76</v>
      </c>
      <c r="W5" s="118">
        <f>B4</f>
        <v>2002</v>
      </c>
      <c r="X5" s="118">
        <f t="shared" ref="X5:AK5" si="0">C4</f>
        <v>2003</v>
      </c>
      <c r="Y5" s="118">
        <f t="shared" si="0"/>
        <v>2004</v>
      </c>
      <c r="Z5" s="118">
        <f t="shared" si="0"/>
        <v>2005</v>
      </c>
      <c r="AA5" s="118">
        <f t="shared" si="0"/>
        <v>2006</v>
      </c>
      <c r="AB5" s="118">
        <f t="shared" si="0"/>
        <v>2007</v>
      </c>
      <c r="AC5" s="118">
        <f t="shared" si="0"/>
        <v>2008</v>
      </c>
      <c r="AD5" s="118">
        <f t="shared" si="0"/>
        <v>2009</v>
      </c>
      <c r="AE5" s="118">
        <f t="shared" si="0"/>
        <v>2010</v>
      </c>
      <c r="AF5" s="118">
        <f t="shared" si="0"/>
        <v>2011</v>
      </c>
      <c r="AG5" s="118">
        <f t="shared" si="0"/>
        <v>2012</v>
      </c>
      <c r="AH5" s="118">
        <f t="shared" si="0"/>
        <v>2013</v>
      </c>
      <c r="AI5" s="118">
        <f t="shared" si="0"/>
        <v>2014</v>
      </c>
      <c r="AJ5" s="118">
        <f t="shared" si="0"/>
        <v>2015</v>
      </c>
      <c r="AK5" s="118">
        <f t="shared" si="0"/>
        <v>2016</v>
      </c>
    </row>
    <row r="6" spans="1:37" s="13" customFormat="1" x14ac:dyDescent="0.3">
      <c r="A6" s="13" t="s">
        <v>34</v>
      </c>
      <c r="B6" s="17">
        <v>3630022.59480228</v>
      </c>
      <c r="C6" s="13">
        <v>3668857.2709999997</v>
      </c>
      <c r="D6" s="13">
        <v>3672197.1720000003</v>
      </c>
      <c r="E6" s="11">
        <v>3983081</v>
      </c>
      <c r="F6" s="11">
        <v>3690128</v>
      </c>
      <c r="G6" s="12">
        <v>4231567</v>
      </c>
      <c r="H6" s="17">
        <v>3999440</v>
      </c>
      <c r="I6" s="13">
        <v>5294879</v>
      </c>
      <c r="J6" s="10">
        <v>5332433.108</v>
      </c>
      <c r="K6" s="10">
        <v>3081956.3689999999</v>
      </c>
      <c r="L6" s="13">
        <v>3246820.952</v>
      </c>
      <c r="M6" s="68">
        <v>5306865.057</v>
      </c>
      <c r="N6" s="90">
        <v>4585795.4732845128</v>
      </c>
      <c r="O6" s="114">
        <v>5416549.625</v>
      </c>
      <c r="P6" s="13">
        <v>4713692</v>
      </c>
      <c r="Q6" s="128">
        <v>4585970.3310000002</v>
      </c>
      <c r="V6" s="13" t="s">
        <v>77</v>
      </c>
      <c r="W6" s="119">
        <f>B11/'State Agg Fuel Mix 2000-2017'!D19</f>
        <v>0.20942775370846453</v>
      </c>
      <c r="X6" s="119">
        <f>C11/'State Agg Fuel Mix 2000-2017'!E19</f>
        <v>0.25039485201096884</v>
      </c>
      <c r="Y6" s="119">
        <f>D11/'State Agg Fuel Mix 2000-2017'!F19</f>
        <v>0.26110645995028364</v>
      </c>
      <c r="Z6" s="119">
        <f>E11/'State Agg Fuel Mix 2000-2017'!G19</f>
        <v>0.25096780142480524</v>
      </c>
      <c r="AA6" s="119">
        <f>F11/'State Agg Fuel Mix 2000-2017'!H19</f>
        <v>0.23043843080981963</v>
      </c>
      <c r="AB6" s="119">
        <f>G11/'State Agg Fuel Mix 2000-2017'!I19</f>
        <v>0.2413718957221663</v>
      </c>
      <c r="AC6" s="119">
        <f>H11/'State Agg Fuel Mix 2000-2017'!J19</f>
        <v>0.23396018270399635</v>
      </c>
      <c r="AD6" s="119">
        <f>I11/'State Agg Fuel Mix 2000-2017'!K19</f>
        <v>0.2447425335739323</v>
      </c>
      <c r="AE6" s="119">
        <f>J11/'State Agg Fuel Mix 2000-2017'!L19</f>
        <v>0.26031912720531031</v>
      </c>
      <c r="AF6" s="119">
        <f>K11/'State Agg Fuel Mix 2000-2017'!M19</f>
        <v>0.19176092098173259</v>
      </c>
      <c r="AG6" s="119">
        <f>L11/'State Agg Fuel Mix 2000-2017'!N19</f>
        <v>0.18530484187690963</v>
      </c>
      <c r="AH6" s="119">
        <f>M11/'State Agg Fuel Mix 2000-2017'!O19</f>
        <v>0.22134900709538555</v>
      </c>
      <c r="AI6" s="119">
        <f>N11/'State Agg Fuel Mix 2000-2017'!P19</f>
        <v>0.22032315401205563</v>
      </c>
      <c r="AJ6" s="120">
        <f>O11/'State Agg Fuel Mix 2000-2017'!Q19</f>
        <v>0.2394421269853394</v>
      </c>
      <c r="AK6" s="120">
        <f>P11/'State Agg Fuel Mix 2000-2017'!R19</f>
        <v>0.21548586970574071</v>
      </c>
    </row>
    <row r="7" spans="1:37" s="13" customFormat="1" x14ac:dyDescent="0.3">
      <c r="A7" s="13" t="s">
        <v>9</v>
      </c>
      <c r="B7" s="28">
        <v>32306.8318526074</v>
      </c>
      <c r="C7" s="26">
        <v>255731.394</v>
      </c>
      <c r="D7" s="26">
        <v>1063987.1850000001</v>
      </c>
      <c r="E7" s="11">
        <v>235470</v>
      </c>
      <c r="F7" s="11">
        <v>132414</v>
      </c>
      <c r="G7" s="12">
        <v>133872</v>
      </c>
      <c r="H7" s="17">
        <v>122435</v>
      </c>
      <c r="I7" s="13">
        <v>128390</v>
      </c>
      <c r="J7" s="10">
        <v>139575.291</v>
      </c>
      <c r="K7" s="10">
        <v>146862.842</v>
      </c>
      <c r="L7" s="83">
        <v>101207.819</v>
      </c>
      <c r="M7" s="67">
        <v>80093.183999999994</v>
      </c>
      <c r="N7" s="90">
        <v>104993.20988954855</v>
      </c>
      <c r="O7" s="114">
        <v>109880.10799999999</v>
      </c>
      <c r="P7" s="13">
        <v>109384</v>
      </c>
      <c r="Q7" s="128">
        <v>108872.723</v>
      </c>
    </row>
    <row r="8" spans="1:37" s="13" customFormat="1" x14ac:dyDescent="0.3">
      <c r="A8" s="13" t="s">
        <v>35</v>
      </c>
      <c r="B8" s="28">
        <v>35523.206433653198</v>
      </c>
      <c r="C8" s="26">
        <v>35361.262999999999</v>
      </c>
      <c r="D8" s="26">
        <v>72868.581999999995</v>
      </c>
      <c r="E8" s="11">
        <v>40411</v>
      </c>
      <c r="F8" s="11">
        <v>93863</v>
      </c>
      <c r="G8" s="12">
        <v>105428</v>
      </c>
      <c r="H8" s="17">
        <v>111529</v>
      </c>
      <c r="I8" s="13">
        <v>133445</v>
      </c>
      <c r="J8" s="10">
        <v>120418.629</v>
      </c>
      <c r="K8" s="10">
        <v>76738.457999999999</v>
      </c>
      <c r="L8" s="83">
        <v>75655.854999999996</v>
      </c>
      <c r="M8" s="67">
        <v>74618.245999999999</v>
      </c>
      <c r="N8" s="77">
        <v>66774.786290258839</v>
      </c>
      <c r="O8" s="114">
        <v>79656.335999999996</v>
      </c>
      <c r="P8" s="13">
        <v>66325</v>
      </c>
      <c r="Q8" s="128">
        <v>79179</v>
      </c>
    </row>
    <row r="9" spans="1:37" s="13" customFormat="1" ht="14.4" x14ac:dyDescent="0.3">
      <c r="A9" s="13" t="s">
        <v>11</v>
      </c>
      <c r="B9" s="28">
        <v>136182.427467025</v>
      </c>
      <c r="C9" s="17">
        <v>0</v>
      </c>
      <c r="D9" s="29">
        <v>90341.214000000007</v>
      </c>
      <c r="E9" s="30">
        <v>0</v>
      </c>
      <c r="F9" s="11">
        <v>33923</v>
      </c>
      <c r="G9" s="12">
        <v>28215</v>
      </c>
      <c r="H9" s="17">
        <v>14342</v>
      </c>
      <c r="I9" s="13">
        <v>10016</v>
      </c>
      <c r="J9" s="10">
        <v>10693.619000000001</v>
      </c>
      <c r="K9" s="10">
        <v>33894.17</v>
      </c>
      <c r="L9" s="83">
        <v>57696.461000000003</v>
      </c>
      <c r="M9" s="83">
        <v>43376.118000000002</v>
      </c>
      <c r="N9" s="90">
        <v>75497.692437414866</v>
      </c>
      <c r="O9" s="114">
        <v>73299.294999999998</v>
      </c>
      <c r="P9" s="13">
        <v>67161</v>
      </c>
      <c r="Q9" s="168">
        <v>74856.077999999994</v>
      </c>
      <c r="R9" s="169" t="s">
        <v>93</v>
      </c>
      <c r="V9"/>
      <c r="W9"/>
      <c r="X9"/>
      <c r="Y9"/>
      <c r="Z9"/>
      <c r="AA9"/>
      <c r="AB9"/>
      <c r="AC9"/>
      <c r="AD9"/>
      <c r="AE9"/>
      <c r="AF9"/>
      <c r="AG9"/>
      <c r="AH9"/>
      <c r="AI9"/>
      <c r="AJ9"/>
    </row>
    <row r="10" spans="1:37" s="13" customFormat="1" ht="14.4" x14ac:dyDescent="0.3">
      <c r="A10" s="13" t="s">
        <v>2</v>
      </c>
      <c r="B10" s="28">
        <v>14082.665555990199</v>
      </c>
      <c r="C10" s="17">
        <v>0</v>
      </c>
      <c r="D10" s="30">
        <v>0</v>
      </c>
      <c r="E10" s="30">
        <v>0</v>
      </c>
      <c r="F10" s="11">
        <v>3631</v>
      </c>
      <c r="G10" s="11">
        <v>4959</v>
      </c>
      <c r="H10" s="17">
        <v>0</v>
      </c>
      <c r="I10" s="17">
        <v>0</v>
      </c>
      <c r="J10" s="17">
        <v>0</v>
      </c>
      <c r="K10" s="17">
        <v>0</v>
      </c>
      <c r="L10" s="17">
        <v>0</v>
      </c>
      <c r="M10" s="66">
        <v>0</v>
      </c>
      <c r="N10" s="10"/>
      <c r="P10" s="13">
        <v>102173</v>
      </c>
      <c r="Q10" s="142">
        <v>69961</v>
      </c>
      <c r="V10"/>
      <c r="W10"/>
      <c r="X10"/>
      <c r="Y10"/>
      <c r="Z10"/>
      <c r="AA10"/>
      <c r="AB10"/>
      <c r="AC10"/>
      <c r="AD10"/>
      <c r="AE10"/>
      <c r="AF10"/>
      <c r="AG10"/>
      <c r="AH10"/>
      <c r="AI10"/>
      <c r="AJ10"/>
    </row>
    <row r="11" spans="1:37" s="13" customFormat="1" x14ac:dyDescent="0.3">
      <c r="A11" s="16" t="s">
        <v>94</v>
      </c>
      <c r="B11" s="14">
        <f t="shared" ref="B11:H11" si="1">SUM(B5:B10)</f>
        <v>16322123.800580556</v>
      </c>
      <c r="C11" s="14">
        <f t="shared" si="1"/>
        <v>20253314.651999999</v>
      </c>
      <c r="D11" s="31">
        <f t="shared" si="1"/>
        <v>21351231.071999997</v>
      </c>
      <c r="E11" s="14">
        <f t="shared" si="1"/>
        <v>21060856</v>
      </c>
      <c r="F11" s="14">
        <f t="shared" si="1"/>
        <v>20146152</v>
      </c>
      <c r="G11" s="14">
        <f t="shared" si="1"/>
        <v>21311653</v>
      </c>
      <c r="H11" s="15">
        <f t="shared" si="1"/>
        <v>20870942</v>
      </c>
      <c r="I11" s="16">
        <f t="shared" ref="I11:L11" si="2">SUM(I5:I10)</f>
        <v>21751625</v>
      </c>
      <c r="J11" s="16">
        <f t="shared" si="2"/>
        <v>23049775.576000001</v>
      </c>
      <c r="K11" s="16">
        <f t="shared" si="2"/>
        <v>17470619.729000002</v>
      </c>
      <c r="L11" s="16">
        <f t="shared" si="2"/>
        <v>16796729.559999999</v>
      </c>
      <c r="M11" s="16">
        <f>SUM(M5:M10)</f>
        <v>20212853.976999998</v>
      </c>
      <c r="N11" s="73">
        <f>SUM(N5:N10)</f>
        <v>20221877.791114025</v>
      </c>
      <c r="O11" s="73">
        <f>SUM(O5:O10)</f>
        <v>21147552.839000002</v>
      </c>
      <c r="P11" s="73">
        <f>SUM(P5:P10)</f>
        <v>18844800</v>
      </c>
      <c r="Q11" s="73">
        <f>SUM(Q5:Q10)</f>
        <v>18141652.119000003</v>
      </c>
    </row>
    <row r="12" spans="1:37" x14ac:dyDescent="0.3">
      <c r="E12" s="13"/>
      <c r="F12" s="13"/>
      <c r="G12" s="13"/>
      <c r="H12" s="17"/>
      <c r="I12" s="13"/>
      <c r="J12" s="13"/>
      <c r="N12" s="70"/>
      <c r="V12" s="13" t="s">
        <v>76</v>
      </c>
      <c r="W12" s="13" t="s">
        <v>78</v>
      </c>
    </row>
    <row r="13" spans="1:37" s="1" customFormat="1" x14ac:dyDescent="0.3">
      <c r="A13" s="6" t="s">
        <v>31</v>
      </c>
      <c r="B13" s="18">
        <v>2002</v>
      </c>
      <c r="C13" s="18">
        <v>2003</v>
      </c>
      <c r="D13" s="18">
        <v>2004</v>
      </c>
      <c r="E13" s="8">
        <v>2005</v>
      </c>
      <c r="F13" s="8">
        <v>2006</v>
      </c>
      <c r="G13" s="8">
        <v>2007</v>
      </c>
      <c r="H13" s="9">
        <v>2008</v>
      </c>
      <c r="I13" s="8">
        <v>2009</v>
      </c>
      <c r="J13" s="8">
        <v>2010</v>
      </c>
      <c r="K13" s="8">
        <v>2011</v>
      </c>
      <c r="L13" s="8">
        <v>2012</v>
      </c>
      <c r="M13" s="64">
        <v>2013</v>
      </c>
      <c r="N13" s="74">
        <f>N4</f>
        <v>2014</v>
      </c>
      <c r="O13" s="74">
        <f t="shared" ref="O13:P13" si="3">O4</f>
        <v>2015</v>
      </c>
      <c r="P13" s="74">
        <f t="shared" si="3"/>
        <v>2016</v>
      </c>
      <c r="V13" s="118">
        <v>2002</v>
      </c>
      <c r="W13" s="132">
        <v>0.20942775370846453</v>
      </c>
    </row>
    <row r="14" spans="1:37" s="13" customFormat="1" x14ac:dyDescent="0.3">
      <c r="A14" s="16" t="s">
        <v>1</v>
      </c>
      <c r="B14" s="28">
        <v>20666.099999999999</v>
      </c>
      <c r="C14" s="26">
        <v>24637.241999999998</v>
      </c>
      <c r="D14" s="26">
        <v>24675.924999999999</v>
      </c>
      <c r="E14" s="13">
        <v>23078</v>
      </c>
      <c r="F14" s="13">
        <v>22356</v>
      </c>
      <c r="G14" s="13">
        <v>20047</v>
      </c>
      <c r="H14" s="83">
        <v>19077</v>
      </c>
      <c r="I14" s="13">
        <v>20629</v>
      </c>
      <c r="J14" s="13">
        <v>19654</v>
      </c>
      <c r="K14" s="13">
        <v>15098</v>
      </c>
      <c r="L14" s="10">
        <v>11444.456</v>
      </c>
      <c r="M14" s="76">
        <v>12127.468000000001</v>
      </c>
      <c r="N14" s="90">
        <v>12336.018047130412</v>
      </c>
      <c r="O14" s="13">
        <v>30864</v>
      </c>
      <c r="P14" s="128">
        <v>36168.86</v>
      </c>
      <c r="Q14" s="13">
        <v>31295</v>
      </c>
      <c r="V14" s="118">
        <v>2003</v>
      </c>
      <c r="W14" s="132">
        <v>0.25039485201096884</v>
      </c>
    </row>
    <row r="15" spans="1:37" x14ac:dyDescent="0.3">
      <c r="E15" s="13"/>
      <c r="F15" s="13"/>
      <c r="G15" s="13"/>
      <c r="H15" s="17"/>
      <c r="I15" s="13"/>
      <c r="J15" s="13"/>
      <c r="N15" s="70"/>
      <c r="V15" s="118">
        <v>2004</v>
      </c>
      <c r="W15" s="132">
        <v>0.26110645995028364</v>
      </c>
    </row>
    <row r="16" spans="1:37" x14ac:dyDescent="0.3">
      <c r="E16" s="13"/>
      <c r="F16" s="13"/>
      <c r="G16" s="13"/>
      <c r="H16" s="17"/>
      <c r="I16" s="13"/>
      <c r="J16" s="13"/>
      <c r="N16" s="70"/>
      <c r="V16" s="118">
        <v>2005</v>
      </c>
      <c r="W16" s="132">
        <v>0.25096780142480524</v>
      </c>
    </row>
    <row r="17" spans="1:23" s="1" customFormat="1" x14ac:dyDescent="0.3">
      <c r="A17" s="6" t="s">
        <v>33</v>
      </c>
      <c r="B17" s="7">
        <v>2002</v>
      </c>
      <c r="C17" s="7">
        <v>2003</v>
      </c>
      <c r="D17" s="7">
        <v>2004</v>
      </c>
      <c r="E17" s="8">
        <v>2005</v>
      </c>
      <c r="F17" s="8">
        <v>2006</v>
      </c>
      <c r="G17" s="8">
        <v>2007</v>
      </c>
      <c r="H17" s="9">
        <v>2008</v>
      </c>
      <c r="I17" s="8">
        <v>2009</v>
      </c>
      <c r="J17" s="8">
        <v>2010</v>
      </c>
      <c r="K17" s="8">
        <v>2011</v>
      </c>
      <c r="L17" s="8">
        <v>2012</v>
      </c>
      <c r="M17" s="64">
        <v>2013</v>
      </c>
      <c r="N17" s="74">
        <f>N4</f>
        <v>2014</v>
      </c>
      <c r="O17" s="74">
        <f t="shared" ref="O17:P17" si="4">O4</f>
        <v>2015</v>
      </c>
      <c r="P17" s="74">
        <f t="shared" si="4"/>
        <v>2016</v>
      </c>
      <c r="V17" s="118">
        <v>2006</v>
      </c>
      <c r="W17" s="132">
        <v>0.23043843080981963</v>
      </c>
    </row>
    <row r="18" spans="1:23" s="13" customFormat="1" x14ac:dyDescent="0.3">
      <c r="A18" s="16" t="s">
        <v>1</v>
      </c>
      <c r="B18" s="28">
        <v>28602.799999999999</v>
      </c>
      <c r="C18" s="26">
        <v>35836.648999999998</v>
      </c>
      <c r="D18" s="26">
        <v>37073.714</v>
      </c>
      <c r="E18" s="13">
        <v>36040</v>
      </c>
      <c r="F18" s="13">
        <v>36203</v>
      </c>
      <c r="G18" s="13">
        <v>35468</v>
      </c>
      <c r="H18" s="33">
        <v>28178.581999999999</v>
      </c>
      <c r="I18" s="13">
        <v>26015</v>
      </c>
      <c r="J18" s="13">
        <v>25804</v>
      </c>
      <c r="K18" s="13">
        <v>20236</v>
      </c>
      <c r="L18" s="10">
        <v>17187.362000000001</v>
      </c>
      <c r="M18" s="76">
        <v>1602.1980000000001</v>
      </c>
      <c r="N18" s="77">
        <v>18568.360096034186</v>
      </c>
      <c r="O18" s="13">
        <v>27649</v>
      </c>
      <c r="P18" s="128">
        <v>29562.064000000006</v>
      </c>
      <c r="Q18" s="13">
        <v>27525</v>
      </c>
      <c r="V18" s="118">
        <v>2007</v>
      </c>
      <c r="W18" s="132">
        <v>0.2413718957221663</v>
      </c>
    </row>
    <row r="19" spans="1:23" x14ac:dyDescent="0.3">
      <c r="E19" s="13"/>
      <c r="F19" s="13"/>
      <c r="G19" s="13"/>
      <c r="H19" s="17"/>
      <c r="I19" s="13"/>
      <c r="J19" s="13"/>
      <c r="N19" s="70"/>
      <c r="V19" s="118">
        <v>2008</v>
      </c>
      <c r="W19" s="132">
        <v>0.23396018270399635</v>
      </c>
    </row>
    <row r="20" spans="1:23" x14ac:dyDescent="0.3">
      <c r="E20" s="13"/>
      <c r="F20" s="13"/>
      <c r="G20" s="13"/>
      <c r="H20" s="17"/>
      <c r="I20" s="13"/>
      <c r="J20" s="13"/>
      <c r="N20" s="70"/>
      <c r="V20" s="118">
        <v>2009</v>
      </c>
      <c r="W20" s="132">
        <v>0.2447425335739323</v>
      </c>
    </row>
    <row r="21" spans="1:23" s="1" customFormat="1" x14ac:dyDescent="0.3">
      <c r="A21" s="6" t="s">
        <v>32</v>
      </c>
      <c r="B21" s="7">
        <v>2002</v>
      </c>
      <c r="C21" s="7">
        <v>2003</v>
      </c>
      <c r="D21" s="7">
        <v>2004</v>
      </c>
      <c r="E21" s="8">
        <v>2005</v>
      </c>
      <c r="F21" s="8">
        <v>2006</v>
      </c>
      <c r="G21" s="8">
        <v>2007</v>
      </c>
      <c r="H21" s="9">
        <v>2008</v>
      </c>
      <c r="I21" s="8">
        <v>2009</v>
      </c>
      <c r="J21" s="8">
        <v>2010</v>
      </c>
      <c r="K21" s="8">
        <v>2011</v>
      </c>
      <c r="L21" s="8">
        <v>2012</v>
      </c>
      <c r="M21" s="64">
        <v>2013</v>
      </c>
      <c r="N21" s="74">
        <f>N4</f>
        <v>2014</v>
      </c>
      <c r="O21" s="74">
        <f t="shared" ref="O21:P21" si="5">O4</f>
        <v>2015</v>
      </c>
      <c r="P21" s="74">
        <f t="shared" si="5"/>
        <v>2016</v>
      </c>
      <c r="V21" s="118">
        <v>2010</v>
      </c>
      <c r="W21" s="132">
        <v>0.26031912720531031</v>
      </c>
    </row>
    <row r="22" spans="1:23" s="13" customFormat="1" x14ac:dyDescent="0.3">
      <c r="A22" s="16" t="s">
        <v>1</v>
      </c>
      <c r="B22" s="28">
        <v>502.5</v>
      </c>
      <c r="C22" s="26">
        <v>583.74900000000002</v>
      </c>
      <c r="D22" s="26">
        <v>571.51800000000003</v>
      </c>
      <c r="E22" s="13">
        <v>573</v>
      </c>
      <c r="F22" s="13">
        <v>586</v>
      </c>
      <c r="G22" s="13">
        <v>613</v>
      </c>
      <c r="H22" s="33">
        <v>614.28800000000001</v>
      </c>
      <c r="I22" s="13">
        <v>586</v>
      </c>
      <c r="J22" s="13">
        <v>646</v>
      </c>
      <c r="K22" s="13">
        <v>520</v>
      </c>
      <c r="L22" s="10">
        <v>486.839</v>
      </c>
      <c r="M22" s="75">
        <v>516.45299999999997</v>
      </c>
      <c r="N22" s="77">
        <v>544.65271879635964</v>
      </c>
      <c r="O22" s="13">
        <v>353</v>
      </c>
      <c r="P22" s="128">
        <v>375.13400000000001</v>
      </c>
      <c r="Q22" s="13">
        <v>298</v>
      </c>
      <c r="V22" s="118">
        <v>2011</v>
      </c>
      <c r="W22" s="132">
        <v>0.19176092098173259</v>
      </c>
    </row>
    <row r="23" spans="1:23" x14ac:dyDescent="0.3">
      <c r="E23" s="13"/>
      <c r="F23" s="13"/>
      <c r="G23" s="13"/>
      <c r="H23" s="17"/>
      <c r="I23" s="13"/>
      <c r="J23" s="13"/>
      <c r="N23" s="70"/>
      <c r="V23" s="118">
        <v>2012</v>
      </c>
      <c r="W23" s="132">
        <v>0.18530484187690963</v>
      </c>
    </row>
    <row r="24" spans="1:23" x14ac:dyDescent="0.3">
      <c r="H24" s="5"/>
      <c r="I24" s="19"/>
      <c r="J24" s="19"/>
      <c r="V24" s="118">
        <v>2013</v>
      </c>
      <c r="W24" s="132">
        <v>0.22134900709538555</v>
      </c>
    </row>
    <row r="25" spans="1:23" x14ac:dyDescent="0.3">
      <c r="A25" s="79" t="s">
        <v>25</v>
      </c>
      <c r="I25" s="19"/>
      <c r="J25" s="19"/>
      <c r="V25" s="118">
        <v>2014</v>
      </c>
      <c r="W25" s="132">
        <v>0.22032315401205563</v>
      </c>
    </row>
    <row r="26" spans="1:23" x14ac:dyDescent="0.3">
      <c r="A26" s="79" t="s">
        <v>23</v>
      </c>
      <c r="I26" s="19"/>
      <c r="J26" s="19"/>
      <c r="V26" s="79">
        <v>2015</v>
      </c>
      <c r="W26" s="133">
        <v>0.23899999999999999</v>
      </c>
    </row>
    <row r="27" spans="1:23" ht="14.25" customHeight="1" x14ac:dyDescent="0.3">
      <c r="A27" s="20" t="s">
        <v>29</v>
      </c>
      <c r="B27" s="20"/>
      <c r="C27" s="20"/>
      <c r="D27" s="20"/>
      <c r="V27" s="79">
        <v>2016</v>
      </c>
      <c r="W27" s="133">
        <v>0.21567952911617563</v>
      </c>
    </row>
    <row r="30" spans="1:23" x14ac:dyDescent="0.3">
      <c r="A30" s="1" t="s">
        <v>39</v>
      </c>
      <c r="B30" s="1"/>
      <c r="C30" s="1"/>
      <c r="D30" s="1"/>
    </row>
    <row r="31" spans="1:23" x14ac:dyDescent="0.3">
      <c r="A31" s="3" t="s">
        <v>43</v>
      </c>
      <c r="B31" s="4"/>
      <c r="C31" s="4"/>
      <c r="D31" s="4"/>
      <c r="G31" s="80"/>
      <c r="N31" s="80"/>
      <c r="O31" s="80"/>
      <c r="P31" s="81"/>
    </row>
    <row r="32" spans="1:23" s="40" customFormat="1" x14ac:dyDescent="0.3">
      <c r="A32" s="39"/>
      <c r="F32" s="41"/>
      <c r="G32" s="41"/>
    </row>
    <row r="33" spans="1:17" x14ac:dyDescent="0.3">
      <c r="A33" s="6" t="s">
        <v>30</v>
      </c>
      <c r="B33" s="37">
        <v>2002</v>
      </c>
      <c r="C33" s="37">
        <v>2003</v>
      </c>
      <c r="D33" s="37">
        <v>2004</v>
      </c>
      <c r="E33" s="38">
        <v>2005</v>
      </c>
      <c r="F33" s="38">
        <v>2006</v>
      </c>
      <c r="G33" s="38">
        <v>2007</v>
      </c>
      <c r="H33" s="38">
        <v>2008</v>
      </c>
      <c r="I33" s="38">
        <v>2009</v>
      </c>
      <c r="J33" s="38">
        <v>2010</v>
      </c>
      <c r="K33" s="38">
        <v>2011</v>
      </c>
      <c r="L33" s="38">
        <v>2012</v>
      </c>
      <c r="M33" s="38">
        <f>M4</f>
        <v>2013</v>
      </c>
      <c r="N33" s="38">
        <f t="shared" ref="N33:P33" si="6">N4</f>
        <v>2014</v>
      </c>
      <c r="O33" s="38">
        <f t="shared" si="6"/>
        <v>2015</v>
      </c>
      <c r="P33" s="38">
        <f t="shared" si="6"/>
        <v>2016</v>
      </c>
      <c r="Q33" s="38">
        <f t="shared" ref="Q33" si="7">Q4</f>
        <v>2017</v>
      </c>
    </row>
    <row r="34" spans="1:17" x14ac:dyDescent="0.3">
      <c r="A34" s="79" t="s">
        <v>3</v>
      </c>
      <c r="B34" s="11">
        <f>B5*0.907184</f>
        <v>11316218.726661086</v>
      </c>
      <c r="C34" s="11">
        <f>C5*0.907184</f>
        <v>14781079.783777215</v>
      </c>
      <c r="D34" s="11">
        <f>D5*0.907184</f>
        <v>14924843.223526096</v>
      </c>
      <c r="E34" s="11">
        <f>E5*0.907184</f>
        <v>15242409.406496</v>
      </c>
      <c r="F34" s="11">
        <f t="shared" ref="F34:L34" si="8">F5*0.907184</f>
        <v>14689298.414511999</v>
      </c>
      <c r="G34" s="11">
        <f t="shared" si="8"/>
        <v>15247596.684607999</v>
      </c>
      <c r="H34" s="11">
        <f t="shared" si="8"/>
        <v>15080297.440064</v>
      </c>
      <c r="I34" s="11">
        <f t="shared" si="8"/>
        <v>14682677.78568</v>
      </c>
      <c r="J34" s="11">
        <f t="shared" si="8"/>
        <v>15827326.205109937</v>
      </c>
      <c r="K34" s="11">
        <f t="shared" si="8"/>
        <v>12819569.41112176</v>
      </c>
      <c r="L34" s="11">
        <f t="shared" si="8"/>
        <v>12079471.089130031</v>
      </c>
      <c r="M34" s="11">
        <f t="shared" ref="M34:N34" si="9">M5*0.907184</f>
        <v>13342772.798256448</v>
      </c>
      <c r="N34" s="11">
        <f t="shared" si="9"/>
        <v>13960488.224955324</v>
      </c>
      <c r="O34" s="11">
        <f t="shared" ref="O34:P34" si="10">O5*0.907184</f>
        <v>14032474.042640399</v>
      </c>
      <c r="P34" s="11">
        <f t="shared" si="10"/>
        <v>12506497.59096</v>
      </c>
      <c r="Q34" s="11">
        <f t="shared" ref="Q34" si="11">Q5*0.907184</f>
        <v>11995524.376798607</v>
      </c>
    </row>
    <row r="35" spans="1:17" x14ac:dyDescent="0.3">
      <c r="A35" s="79" t="s">
        <v>34</v>
      </c>
      <c r="B35" s="11">
        <f t="shared" ref="B35" si="12">B6*0.907184</f>
        <v>3293098.4176431117</v>
      </c>
      <c r="C35" s="11">
        <f t="shared" ref="C35:D35" si="13">C6*0.907184</f>
        <v>3328328.6145348637</v>
      </c>
      <c r="D35" s="11">
        <f t="shared" si="13"/>
        <v>3331358.5192836481</v>
      </c>
      <c r="E35" s="11">
        <f t="shared" ref="E35:L35" si="14">E6*0.907184</f>
        <v>3613387.353904</v>
      </c>
      <c r="F35" s="11">
        <f t="shared" si="14"/>
        <v>3347625.0795519999</v>
      </c>
      <c r="G35" s="11">
        <f t="shared" si="14"/>
        <v>3838809.877328</v>
      </c>
      <c r="H35" s="11">
        <f t="shared" si="14"/>
        <v>3628227.9769600001</v>
      </c>
      <c r="I35" s="11">
        <f t="shared" si="14"/>
        <v>4803429.5107359998</v>
      </c>
      <c r="J35" s="11">
        <f t="shared" si="14"/>
        <v>4837497.996647872</v>
      </c>
      <c r="K35" s="11">
        <f t="shared" si="14"/>
        <v>2795901.5066548958</v>
      </c>
      <c r="L35" s="11">
        <f t="shared" si="14"/>
        <v>2945464.0185191678</v>
      </c>
      <c r="M35" s="11">
        <f t="shared" ref="M35:N35" si="15">M6*0.907184</f>
        <v>4814303.0698694875</v>
      </c>
      <c r="N35" s="11">
        <f t="shared" si="15"/>
        <v>4160160.2806361374</v>
      </c>
      <c r="O35" s="11">
        <f t="shared" ref="O35:P35" si="16">O6*0.907184</f>
        <v>4913807.1550059998</v>
      </c>
      <c r="P35" s="11">
        <f t="shared" si="16"/>
        <v>4276185.9633280002</v>
      </c>
      <c r="Q35" s="11">
        <f t="shared" ref="Q35" si="17">Q6*0.907184</f>
        <v>4160318.9087579041</v>
      </c>
    </row>
    <row r="36" spans="1:17" x14ac:dyDescent="0.3">
      <c r="A36" s="79" t="s">
        <v>9</v>
      </c>
      <c r="B36" s="11">
        <f t="shared" ref="B36" si="18">B7*0.907184</f>
        <v>29308.240947375791</v>
      </c>
      <c r="C36" s="11">
        <f t="shared" ref="C36:D36" si="19">C7*0.907184</f>
        <v>231995.42893449598</v>
      </c>
      <c r="D36" s="11">
        <f t="shared" si="19"/>
        <v>965232.15043704002</v>
      </c>
      <c r="E36" s="11">
        <f t="shared" ref="E36:L36" si="20">E7*0.907184</f>
        <v>213614.61648</v>
      </c>
      <c r="F36" s="11">
        <f t="shared" si="20"/>
        <v>120123.862176</v>
      </c>
      <c r="G36" s="11">
        <f t="shared" si="20"/>
        <v>121446.536448</v>
      </c>
      <c r="H36" s="11">
        <f t="shared" si="20"/>
        <v>111071.07304</v>
      </c>
      <c r="I36" s="11">
        <f t="shared" si="20"/>
        <v>116473.35376</v>
      </c>
      <c r="J36" s="11">
        <f t="shared" si="20"/>
        <v>126620.470790544</v>
      </c>
      <c r="K36" s="11">
        <f t="shared" si="20"/>
        <v>133231.62045692801</v>
      </c>
      <c r="L36" s="11">
        <f t="shared" si="20"/>
        <v>91814.114071696007</v>
      </c>
      <c r="M36" s="11">
        <f t="shared" ref="M36:N36" si="21">M7*0.907184</f>
        <v>72659.255033855996</v>
      </c>
      <c r="N36" s="11">
        <f t="shared" si="21"/>
        <v>95248.16012044021</v>
      </c>
      <c r="O36" s="11">
        <f t="shared" ref="O36:P36" si="22">O7*0.907184</f>
        <v>99681.47589587199</v>
      </c>
      <c r="P36" s="11">
        <f t="shared" si="22"/>
        <v>99231.414655999994</v>
      </c>
      <c r="Q36" s="11">
        <f t="shared" ref="Q36" si="23">Q7*0.907184</f>
        <v>98767.592342032003</v>
      </c>
    </row>
    <row r="37" spans="1:17" x14ac:dyDescent="0.3">
      <c r="A37" s="79" t="s">
        <v>35</v>
      </c>
      <c r="B37" s="11">
        <f t="shared" ref="B37" si="24">B8*0.907184</f>
        <v>32226.084505307244</v>
      </c>
      <c r="C37" s="11">
        <f t="shared" ref="C37:D37" si="25">C8*0.907184</f>
        <v>32079.172013391999</v>
      </c>
      <c r="D37" s="11">
        <f t="shared" si="25"/>
        <v>66105.211693088</v>
      </c>
      <c r="E37" s="11">
        <f t="shared" ref="E37:L37" si="26">E8*0.907184</f>
        <v>36660.212624</v>
      </c>
      <c r="F37" s="11">
        <f t="shared" si="26"/>
        <v>85151.011792000005</v>
      </c>
      <c r="G37" s="11">
        <f t="shared" si="26"/>
        <v>95642.594752000005</v>
      </c>
      <c r="H37" s="11">
        <f t="shared" si="26"/>
        <v>101177.32433600001</v>
      </c>
      <c r="I37" s="11">
        <f t="shared" si="26"/>
        <v>121059.16888</v>
      </c>
      <c r="J37" s="11">
        <f t="shared" si="26"/>
        <v>109241.853530736</v>
      </c>
      <c r="K37" s="11">
        <f t="shared" si="26"/>
        <v>69615.901282271996</v>
      </c>
      <c r="L37" s="11">
        <f t="shared" si="26"/>
        <v>68633.781162319996</v>
      </c>
      <c r="M37" s="11">
        <f t="shared" ref="M37:N37" si="27">M8*0.907184</f>
        <v>67692.478879264003</v>
      </c>
      <c r="N37" s="11">
        <f t="shared" si="27"/>
        <v>60577.017725942176</v>
      </c>
      <c r="O37" s="11">
        <f t="shared" ref="O37:P37" si="28">O8*0.907184</f>
        <v>72262.953517823989</v>
      </c>
      <c r="P37" s="11">
        <f t="shared" si="28"/>
        <v>60168.978799999997</v>
      </c>
      <c r="Q37" s="11">
        <f t="shared" ref="Q37" si="29">Q8*0.907184</f>
        <v>71829.921935999999</v>
      </c>
    </row>
    <row r="38" spans="1:17" x14ac:dyDescent="0.3">
      <c r="A38" s="79" t="s">
        <v>11</v>
      </c>
      <c r="B38" s="11">
        <f t="shared" ref="B38" si="30">B9*0.907184</f>
        <v>123542.51927924561</v>
      </c>
      <c r="C38" s="11">
        <f t="shared" ref="C38:D38" si="31">C9*0.907184</f>
        <v>0</v>
      </c>
      <c r="D38" s="11">
        <f t="shared" si="31"/>
        <v>81956.10388137601</v>
      </c>
      <c r="E38" s="11">
        <f t="shared" ref="E38:L38" si="32">E9*0.907184</f>
        <v>0</v>
      </c>
      <c r="F38" s="11">
        <f t="shared" si="32"/>
        <v>30774.402832</v>
      </c>
      <c r="G38" s="11">
        <f t="shared" si="32"/>
        <v>25596.19656</v>
      </c>
      <c r="H38" s="11">
        <f t="shared" si="32"/>
        <v>13010.832928</v>
      </c>
      <c r="I38" s="11">
        <f t="shared" si="32"/>
        <v>9086.3549440000006</v>
      </c>
      <c r="J38" s="11">
        <f t="shared" si="32"/>
        <v>9701.080058896001</v>
      </c>
      <c r="K38" s="11">
        <f t="shared" si="32"/>
        <v>30748.248717279999</v>
      </c>
      <c r="L38" s="11">
        <f t="shared" si="32"/>
        <v>52341.306275824005</v>
      </c>
      <c r="M38" s="11">
        <f t="shared" ref="M38:N38" si="33">M9*0.907184</f>
        <v>39350.120231712004</v>
      </c>
      <c r="N38" s="11">
        <f t="shared" si="33"/>
        <v>68490.298616143773</v>
      </c>
      <c r="O38" s="11">
        <f t="shared" ref="O38:P38" si="34">O9*0.907184</f>
        <v>66495.947635279997</v>
      </c>
      <c r="P38" s="11">
        <f t="shared" si="34"/>
        <v>60927.384623999998</v>
      </c>
      <c r="Q38" s="11">
        <f t="shared" ref="Q38" si="35">Q9*0.907184</f>
        <v>67908.236264351988</v>
      </c>
    </row>
    <row r="39" spans="1:17" x14ac:dyDescent="0.3">
      <c r="A39" s="79" t="s">
        <v>83</v>
      </c>
      <c r="B39" s="11">
        <f t="shared" ref="B39" si="36">B10*0.907184</f>
        <v>12775.568869745413</v>
      </c>
      <c r="C39" s="11">
        <f t="shared" ref="C39:D39" si="37">C10*0.907184</f>
        <v>0</v>
      </c>
      <c r="D39" s="11">
        <f t="shared" si="37"/>
        <v>0</v>
      </c>
      <c r="E39" s="11">
        <f t="shared" ref="E39:L40" si="38">E10*0.907184</f>
        <v>0</v>
      </c>
      <c r="F39" s="11">
        <f t="shared" si="38"/>
        <v>3293.9851039999999</v>
      </c>
      <c r="G39" s="11">
        <f t="shared" si="38"/>
        <v>4498.7254560000001</v>
      </c>
      <c r="H39" s="11">
        <f t="shared" si="38"/>
        <v>0</v>
      </c>
      <c r="I39" s="11">
        <f t="shared" si="38"/>
        <v>0</v>
      </c>
      <c r="J39" s="11">
        <f t="shared" si="38"/>
        <v>0</v>
      </c>
      <c r="K39" s="11">
        <f t="shared" si="38"/>
        <v>0</v>
      </c>
      <c r="L39" s="11">
        <f t="shared" si="38"/>
        <v>0</v>
      </c>
      <c r="M39" s="11">
        <f t="shared" ref="M39:N39" si="39">M10*0.907184</f>
        <v>0</v>
      </c>
      <c r="N39" s="11">
        <f t="shared" si="39"/>
        <v>0</v>
      </c>
      <c r="O39" s="11">
        <f t="shared" ref="O39:P39" si="40">O10*0.907184</f>
        <v>0</v>
      </c>
      <c r="P39" s="11">
        <f t="shared" si="40"/>
        <v>92689.710831999997</v>
      </c>
      <c r="Q39" s="11">
        <f t="shared" ref="Q39" si="41">Q10*0.907184</f>
        <v>63467.499823999999</v>
      </c>
    </row>
    <row r="40" spans="1:17" x14ac:dyDescent="0.3">
      <c r="A40" s="1" t="s">
        <v>95</v>
      </c>
      <c r="B40" s="13">
        <f>SUM(B33:B39)</f>
        <v>14809171.55790587</v>
      </c>
      <c r="C40" s="13">
        <f t="shared" ref="C40:D40" si="42">SUM(C33:C39)</f>
        <v>18375485.999259964</v>
      </c>
      <c r="D40" s="13">
        <f t="shared" si="42"/>
        <v>19371499.208821248</v>
      </c>
      <c r="E40" s="13">
        <f>SUM(E33:E39)</f>
        <v>19108076.589504</v>
      </c>
      <c r="F40" s="11">
        <f t="shared" si="38"/>
        <v>18276266.755968001</v>
      </c>
      <c r="G40" s="11">
        <f t="shared" si="38"/>
        <v>19333590.615152001</v>
      </c>
      <c r="H40" s="11">
        <f t="shared" si="38"/>
        <v>18933784.647328001</v>
      </c>
      <c r="I40" s="11">
        <f t="shared" si="38"/>
        <v>19732726.173999999</v>
      </c>
      <c r="J40" s="11">
        <f t="shared" si="38"/>
        <v>20910387.606137984</v>
      </c>
      <c r="K40" s="11">
        <f t="shared" si="38"/>
        <v>15849066.688233137</v>
      </c>
      <c r="L40" s="11">
        <f t="shared" si="38"/>
        <v>15237724.309159039</v>
      </c>
      <c r="M40" s="11">
        <f t="shared" ref="M40:N40" si="43">M11*0.907184</f>
        <v>18336777.722270764</v>
      </c>
      <c r="N40" s="11">
        <f t="shared" si="43"/>
        <v>18344963.982053984</v>
      </c>
      <c r="O40" s="11">
        <f t="shared" ref="O40:P40" si="44">O11*0.907184</f>
        <v>19184721.574695379</v>
      </c>
      <c r="P40" s="11">
        <f t="shared" si="44"/>
        <v>17095701.043200001</v>
      </c>
      <c r="Q40" s="11">
        <f t="shared" ref="Q40" si="45">Q11*0.907184</f>
        <v>16457816.535922898</v>
      </c>
    </row>
    <row r="41" spans="1:17" x14ac:dyDescent="0.3">
      <c r="E41" s="13"/>
      <c r="F41" s="13"/>
      <c r="G41" s="13"/>
      <c r="H41" s="17"/>
      <c r="I41" s="13"/>
      <c r="J41" s="13"/>
    </row>
    <row r="42" spans="1:17" x14ac:dyDescent="0.3">
      <c r="A42" s="6" t="s">
        <v>31</v>
      </c>
      <c r="B42" s="7">
        <v>2002</v>
      </c>
      <c r="C42" s="7">
        <v>2003</v>
      </c>
      <c r="D42" s="7">
        <v>2004</v>
      </c>
      <c r="E42" s="8">
        <v>2005</v>
      </c>
      <c r="F42" s="8">
        <v>2006</v>
      </c>
      <c r="G42" s="8">
        <v>2007</v>
      </c>
      <c r="H42" s="9">
        <v>2008</v>
      </c>
      <c r="I42" s="8">
        <v>2009</v>
      </c>
      <c r="J42" s="8">
        <v>2010</v>
      </c>
      <c r="K42" s="8">
        <v>2011</v>
      </c>
      <c r="L42" s="8">
        <v>2012</v>
      </c>
      <c r="M42" s="8">
        <f>M33</f>
        <v>2013</v>
      </c>
      <c r="N42" s="8">
        <f t="shared" ref="N42:P42" si="46">N33</f>
        <v>2014</v>
      </c>
      <c r="O42" s="8">
        <f t="shared" si="46"/>
        <v>2015</v>
      </c>
      <c r="P42" s="8">
        <f t="shared" si="46"/>
        <v>2016</v>
      </c>
      <c r="Q42" s="8">
        <f t="shared" ref="Q42" si="47">Q33</f>
        <v>2017</v>
      </c>
    </row>
    <row r="43" spans="1:17" x14ac:dyDescent="0.3">
      <c r="A43" s="79" t="s">
        <v>1</v>
      </c>
      <c r="B43" s="11">
        <f>B14*0.907184</f>
        <v>18747.955262399999</v>
      </c>
      <c r="C43" s="11">
        <f>C14*0.907184</f>
        <v>22350.511746527998</v>
      </c>
      <c r="D43" s="11">
        <f>D14*0.907184</f>
        <v>22385.604345199998</v>
      </c>
      <c r="E43" s="11">
        <f>E14*0.907184</f>
        <v>20935.992352000001</v>
      </c>
      <c r="F43" s="11">
        <f t="shared" ref="F43:L43" si="48">F14*0.907184</f>
        <v>20281.005504000001</v>
      </c>
      <c r="G43" s="11">
        <f t="shared" si="48"/>
        <v>18186.317648</v>
      </c>
      <c r="H43" s="11">
        <f t="shared" si="48"/>
        <v>17306.349168000001</v>
      </c>
      <c r="I43" s="11">
        <f t="shared" si="48"/>
        <v>18714.298736000001</v>
      </c>
      <c r="J43" s="11">
        <f t="shared" si="48"/>
        <v>17829.794335999999</v>
      </c>
      <c r="K43" s="11">
        <f t="shared" si="48"/>
        <v>13696.664032000001</v>
      </c>
      <c r="L43" s="11">
        <f t="shared" si="48"/>
        <v>10382.227371904</v>
      </c>
      <c r="M43" s="11">
        <f t="shared" ref="M43:N43" si="49">M14*0.907184</f>
        <v>11001.844930112</v>
      </c>
      <c r="N43" s="11">
        <f t="shared" si="49"/>
        <v>11191.038196067955</v>
      </c>
      <c r="O43" s="11">
        <f t="shared" ref="O43:P43" si="50">O14*0.907184</f>
        <v>27999.326976</v>
      </c>
      <c r="P43" s="11">
        <f t="shared" si="50"/>
        <v>32811.81109024</v>
      </c>
      <c r="Q43" s="11">
        <f t="shared" ref="Q43" si="51">Q14*0.907184</f>
        <v>28390.323280000001</v>
      </c>
    </row>
    <row r="44" spans="1:17" x14ac:dyDescent="0.3">
      <c r="E44" s="13"/>
      <c r="F44" s="13"/>
      <c r="G44" s="13"/>
      <c r="H44" s="17"/>
      <c r="I44" s="13"/>
      <c r="J44" s="13"/>
    </row>
    <row r="45" spans="1:17" x14ac:dyDescent="0.3">
      <c r="E45" s="13"/>
      <c r="F45" s="13"/>
      <c r="G45" s="13"/>
      <c r="H45" s="17"/>
      <c r="I45" s="13"/>
      <c r="J45" s="13"/>
    </row>
    <row r="46" spans="1:17" x14ac:dyDescent="0.3">
      <c r="A46" s="6" t="s">
        <v>33</v>
      </c>
      <c r="B46" s="7">
        <v>2002</v>
      </c>
      <c r="C46" s="7">
        <v>2003</v>
      </c>
      <c r="D46" s="7">
        <v>2004</v>
      </c>
      <c r="E46" s="8">
        <v>2005</v>
      </c>
      <c r="F46" s="8">
        <v>2006</v>
      </c>
      <c r="G46" s="8">
        <v>2007</v>
      </c>
      <c r="H46" s="9">
        <v>2008</v>
      </c>
      <c r="I46" s="8">
        <v>2009</v>
      </c>
      <c r="J46" s="8">
        <v>2010</v>
      </c>
      <c r="K46" s="8">
        <v>2011</v>
      </c>
      <c r="L46" s="8">
        <v>2012</v>
      </c>
      <c r="M46" s="8">
        <f>M33</f>
        <v>2013</v>
      </c>
      <c r="N46" s="8">
        <f t="shared" ref="N46:P46" si="52">N33</f>
        <v>2014</v>
      </c>
      <c r="O46" s="8">
        <f t="shared" si="52"/>
        <v>2015</v>
      </c>
      <c r="P46" s="8">
        <f t="shared" si="52"/>
        <v>2016</v>
      </c>
      <c r="Q46" s="8">
        <f t="shared" ref="Q46" si="53">Q33</f>
        <v>2017</v>
      </c>
    </row>
    <row r="47" spans="1:17" x14ac:dyDescent="0.3">
      <c r="A47" s="13" t="s">
        <v>1</v>
      </c>
      <c r="B47" s="11">
        <f>B18*0.907184</f>
        <v>25948.002515199998</v>
      </c>
      <c r="C47" s="11">
        <f>C18*0.907184</f>
        <v>32510.434586415999</v>
      </c>
      <c r="D47" s="11">
        <f>D18*0.907184</f>
        <v>33632.680161375996</v>
      </c>
      <c r="E47" s="11">
        <f>E18*0.907184</f>
        <v>32694.911359999998</v>
      </c>
      <c r="F47" s="11">
        <f t="shared" ref="F47:L47" si="54">F18*0.907184</f>
        <v>32842.782352000002</v>
      </c>
      <c r="G47" s="11">
        <f t="shared" si="54"/>
        <v>32176.002111999998</v>
      </c>
      <c r="H47" s="11">
        <f t="shared" si="54"/>
        <v>25563.158733087999</v>
      </c>
      <c r="I47" s="11">
        <f t="shared" si="54"/>
        <v>23600.391759999999</v>
      </c>
      <c r="J47" s="11">
        <f t="shared" si="54"/>
        <v>23408.975935999999</v>
      </c>
      <c r="K47" s="11">
        <f t="shared" si="54"/>
        <v>18357.775423999999</v>
      </c>
      <c r="L47" s="11">
        <f t="shared" si="54"/>
        <v>15592.099808608</v>
      </c>
      <c r="M47" s="11">
        <f t="shared" ref="M47:N47" si="55">M18*0.907184</f>
        <v>1453.488390432</v>
      </c>
      <c r="N47" s="11">
        <f t="shared" si="55"/>
        <v>16844.919185360679</v>
      </c>
      <c r="O47" s="11">
        <f t="shared" ref="O47:P47" si="56">O18*0.907184</f>
        <v>25082.730415999999</v>
      </c>
      <c r="P47" s="11">
        <f t="shared" si="56"/>
        <v>26818.231467776004</v>
      </c>
      <c r="Q47" s="11">
        <f t="shared" ref="Q47" si="57">Q18*0.907184</f>
        <v>24970.239600000001</v>
      </c>
    </row>
    <row r="48" spans="1:17" x14ac:dyDescent="0.3">
      <c r="E48" s="13"/>
      <c r="F48" s="13"/>
      <c r="G48" s="13"/>
      <c r="H48" s="17"/>
      <c r="I48" s="13"/>
      <c r="J48" s="13"/>
    </row>
    <row r="49" spans="1:17" x14ac:dyDescent="0.3">
      <c r="E49" s="13"/>
      <c r="F49" s="13"/>
      <c r="G49" s="13"/>
      <c r="H49" s="17"/>
      <c r="I49" s="13"/>
      <c r="J49" s="13"/>
    </row>
    <row r="50" spans="1:17" x14ac:dyDescent="0.3">
      <c r="A50" s="6" t="s">
        <v>32</v>
      </c>
      <c r="B50" s="7">
        <v>2002</v>
      </c>
      <c r="C50" s="7">
        <v>2003</v>
      </c>
      <c r="D50" s="7">
        <v>2004</v>
      </c>
      <c r="E50" s="8">
        <v>2005</v>
      </c>
      <c r="F50" s="8">
        <v>2006</v>
      </c>
      <c r="G50" s="8">
        <v>2007</v>
      </c>
      <c r="H50" s="9">
        <v>2008</v>
      </c>
      <c r="I50" s="8">
        <v>2009</v>
      </c>
      <c r="J50" s="8">
        <v>2010</v>
      </c>
      <c r="K50" s="8">
        <v>2011</v>
      </c>
      <c r="L50" s="8">
        <v>2012</v>
      </c>
      <c r="M50" s="8">
        <f>M33</f>
        <v>2013</v>
      </c>
      <c r="N50" s="8">
        <f t="shared" ref="N50:P50" si="58">N33</f>
        <v>2014</v>
      </c>
      <c r="O50" s="8">
        <f t="shared" si="58"/>
        <v>2015</v>
      </c>
      <c r="P50" s="8">
        <f t="shared" si="58"/>
        <v>2016</v>
      </c>
      <c r="Q50" s="8">
        <f t="shared" ref="Q50" si="59">Q33</f>
        <v>2017</v>
      </c>
    </row>
    <row r="51" spans="1:17" x14ac:dyDescent="0.3">
      <c r="A51" s="79" t="s">
        <v>1</v>
      </c>
      <c r="B51" s="11">
        <f>B22*0.907184</f>
        <v>455.85996</v>
      </c>
      <c r="C51" s="11">
        <f>C22*0.907184</f>
        <v>529.56775281600005</v>
      </c>
      <c r="D51" s="11">
        <f>D22*0.907184</f>
        <v>518.47198531200002</v>
      </c>
      <c r="E51" s="11">
        <f>E22*0.907184</f>
        <v>519.81643199999996</v>
      </c>
      <c r="F51" s="11">
        <f t="shared" ref="F51:L51" si="60">F22*0.907184</f>
        <v>531.609824</v>
      </c>
      <c r="G51" s="11">
        <f t="shared" si="60"/>
        <v>556.103792</v>
      </c>
      <c r="H51" s="11">
        <f t="shared" si="60"/>
        <v>557.27224499199997</v>
      </c>
      <c r="I51" s="11">
        <f t="shared" si="60"/>
        <v>531.609824</v>
      </c>
      <c r="J51" s="11">
        <f t="shared" si="60"/>
        <v>586.04086399999994</v>
      </c>
      <c r="K51" s="11">
        <f t="shared" si="60"/>
        <v>471.73568</v>
      </c>
      <c r="L51" s="11">
        <f t="shared" si="60"/>
        <v>441.65255137600002</v>
      </c>
      <c r="M51" s="11">
        <f t="shared" ref="M51:N51" si="61">M22*0.907184</f>
        <v>468.51789835199997</v>
      </c>
      <c r="N51" s="11">
        <f t="shared" si="61"/>
        <v>494.10023204855673</v>
      </c>
      <c r="O51" s="11">
        <f t="shared" ref="O51:P51" si="62">O22*0.907184</f>
        <v>320.235952</v>
      </c>
      <c r="P51" s="11">
        <f t="shared" si="62"/>
        <v>340.315562656</v>
      </c>
      <c r="Q51" s="11">
        <f t="shared" ref="Q51" si="63">Q22*0.907184</f>
        <v>270.34083199999998</v>
      </c>
    </row>
    <row r="52" spans="1:17" x14ac:dyDescent="0.3">
      <c r="E52" s="13"/>
      <c r="F52" s="13"/>
      <c r="G52" s="13"/>
      <c r="H52" s="17"/>
      <c r="I52" s="13"/>
      <c r="J52" s="13"/>
    </row>
  </sheetData>
  <pageMargins left="0.7" right="0.7" top="0.75" bottom="0.75" header="0.3" footer="0.3"/>
  <pageSetup orientation="portrait" r:id="rId1"/>
  <ignoredErrors>
    <ignoredError sqref="E11:G11"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workbookViewId="0">
      <selection activeCell="C21" sqref="C21"/>
    </sheetView>
  </sheetViews>
  <sheetFormatPr defaultColWidth="9.109375" defaultRowHeight="10.199999999999999" x14ac:dyDescent="0.2"/>
  <cols>
    <col min="1" max="1" width="11.5546875" style="25" customWidth="1"/>
    <col min="2" max="2" width="105.109375" style="23" customWidth="1"/>
    <col min="3" max="3" width="13.5546875" style="23" customWidth="1"/>
    <col min="4" max="16384" width="9.109375" style="23"/>
  </cols>
  <sheetData>
    <row r="1" spans="1:4" x14ac:dyDescent="0.2">
      <c r="A1" s="21" t="s">
        <v>44</v>
      </c>
      <c r="B1" s="22"/>
    </row>
    <row r="2" spans="1:4" x14ac:dyDescent="0.2">
      <c r="A2" s="21"/>
      <c r="B2" s="22"/>
    </row>
    <row r="3" spans="1:4" x14ac:dyDescent="0.2">
      <c r="A3" s="21" t="s">
        <v>45</v>
      </c>
      <c r="B3" s="22" t="s">
        <v>46</v>
      </c>
      <c r="C3" s="22" t="s">
        <v>47</v>
      </c>
    </row>
    <row r="4" spans="1:4" x14ac:dyDescent="0.2">
      <c r="A4" s="24">
        <v>41716</v>
      </c>
      <c r="B4" s="23" t="s">
        <v>49</v>
      </c>
      <c r="C4" s="23" t="s">
        <v>48</v>
      </c>
    </row>
    <row r="5" spans="1:4" x14ac:dyDescent="0.2">
      <c r="B5" s="23" t="s">
        <v>50</v>
      </c>
      <c r="C5" s="23" t="s">
        <v>48</v>
      </c>
    </row>
    <row r="6" spans="1:4" x14ac:dyDescent="0.2">
      <c r="B6" s="23" t="s">
        <v>52</v>
      </c>
      <c r="C6" s="23" t="s">
        <v>48</v>
      </c>
    </row>
    <row r="7" spans="1:4" x14ac:dyDescent="0.2">
      <c r="B7" s="23" t="s">
        <v>51</v>
      </c>
      <c r="C7" s="23" t="s">
        <v>48</v>
      </c>
    </row>
    <row r="9" spans="1:4" ht="15.6" x14ac:dyDescent="0.2">
      <c r="A9" s="69">
        <v>42053</v>
      </c>
      <c r="B9" s="23" t="s">
        <v>54</v>
      </c>
      <c r="C9" s="23" t="s">
        <v>48</v>
      </c>
      <c r="D9" s="122" t="s">
        <v>81</v>
      </c>
    </row>
    <row r="10" spans="1:4" x14ac:dyDescent="0.2">
      <c r="A10" s="69">
        <v>42312</v>
      </c>
      <c r="B10" s="23" t="s">
        <v>56</v>
      </c>
    </row>
    <row r="12" spans="1:4" x14ac:dyDescent="0.2">
      <c r="A12" s="121">
        <v>42948</v>
      </c>
      <c r="B12" s="23" t="s">
        <v>79</v>
      </c>
      <c r="C12" s="23" t="s">
        <v>80</v>
      </c>
    </row>
    <row r="14" spans="1:4" x14ac:dyDescent="0.2">
      <c r="A14" s="121">
        <v>43040</v>
      </c>
      <c r="B14" s="23" t="s">
        <v>98</v>
      </c>
      <c r="C14" s="23" t="s">
        <v>80</v>
      </c>
    </row>
    <row r="16" spans="1:4" x14ac:dyDescent="0.2">
      <c r="A16" s="121">
        <v>43435</v>
      </c>
      <c r="B16" s="23" t="s">
        <v>99</v>
      </c>
      <c r="C16" s="23"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T75"/>
  <sheetViews>
    <sheetView topLeftCell="A40" zoomScaleNormal="100" workbookViewId="0">
      <selection activeCell="P65" sqref="P65"/>
    </sheetView>
  </sheetViews>
  <sheetFormatPr defaultRowHeight="14.4" x14ac:dyDescent="0.3"/>
  <cols>
    <col min="1" max="1" width="12.33203125" customWidth="1"/>
    <col min="2" max="2" width="12.88671875" customWidth="1"/>
    <col min="3" max="13" width="11.77734375" customWidth="1"/>
    <col min="14" max="14" width="11.33203125" customWidth="1"/>
    <col min="15" max="15" width="11.44140625" customWidth="1"/>
    <col min="16" max="16" width="12.109375" customWidth="1"/>
    <col min="17" max="20" width="11.44140625" customWidth="1"/>
  </cols>
  <sheetData>
    <row r="4" spans="1:10" x14ac:dyDescent="0.3">
      <c r="J4" s="110"/>
    </row>
    <row r="5" spans="1:10" x14ac:dyDescent="0.3">
      <c r="J5" s="110"/>
    </row>
    <row r="6" spans="1:10" x14ac:dyDescent="0.3">
      <c r="J6" s="110"/>
    </row>
    <row r="7" spans="1:10" x14ac:dyDescent="0.3">
      <c r="B7" s="91" t="s">
        <v>0</v>
      </c>
      <c r="C7" s="92" t="s">
        <v>13</v>
      </c>
      <c r="D7" s="92" t="s">
        <v>14</v>
      </c>
      <c r="E7" s="92" t="s">
        <v>15</v>
      </c>
      <c r="F7" s="92" t="s">
        <v>16</v>
      </c>
      <c r="G7" s="92" t="s">
        <v>17</v>
      </c>
      <c r="H7" s="92" t="s">
        <v>18</v>
      </c>
      <c r="J7" s="111"/>
    </row>
    <row r="8" spans="1:10" x14ac:dyDescent="0.3">
      <c r="B8" s="93" t="s">
        <v>41</v>
      </c>
      <c r="C8" s="94">
        <v>67889833.989999995</v>
      </c>
      <c r="D8" s="94">
        <v>45853455</v>
      </c>
      <c r="E8" s="101">
        <v>56339641.008000001</v>
      </c>
      <c r="F8" s="98">
        <v>53850477.776000001</v>
      </c>
      <c r="G8" s="94">
        <v>54132176</v>
      </c>
      <c r="H8" s="94">
        <v>55342273</v>
      </c>
      <c r="J8" s="111"/>
    </row>
    <row r="9" spans="1:10" x14ac:dyDescent="0.3">
      <c r="B9" s="95" t="s">
        <v>3</v>
      </c>
      <c r="C9" s="96">
        <v>16243438.27</v>
      </c>
      <c r="D9" s="96">
        <v>13247976</v>
      </c>
      <c r="E9" s="60">
        <v>10076411.603</v>
      </c>
      <c r="F9" s="100">
        <v>14336264.477</v>
      </c>
      <c r="G9" s="96">
        <v>14459001</v>
      </c>
      <c r="H9" s="96">
        <v>14860017</v>
      </c>
      <c r="J9" s="111"/>
    </row>
    <row r="10" spans="1:10" ht="36" customHeight="1" x14ac:dyDescent="0.3">
      <c r="B10" s="102"/>
      <c r="C10" s="96"/>
      <c r="D10" s="96"/>
      <c r="E10" s="96"/>
      <c r="F10" s="96"/>
      <c r="G10" s="96"/>
      <c r="H10" s="96"/>
      <c r="J10" s="111"/>
    </row>
    <row r="11" spans="1:10" ht="20.25" customHeight="1" x14ac:dyDescent="0.3">
      <c r="A11" t="s">
        <v>64</v>
      </c>
      <c r="B11" s="93" t="s">
        <v>4</v>
      </c>
      <c r="C11" s="94">
        <v>5428455</v>
      </c>
      <c r="D11" s="101">
        <v>5954725</v>
      </c>
      <c r="E11" s="94">
        <v>3971750.92</v>
      </c>
      <c r="F11" s="98">
        <v>3590493.4049999998</v>
      </c>
      <c r="G11" s="99">
        <v>2717320.5789999999</v>
      </c>
      <c r="H11" s="94">
        <v>2660660</v>
      </c>
      <c r="J11" s="111"/>
    </row>
    <row r="12" spans="1:10" x14ac:dyDescent="0.3">
      <c r="B12" s="95" t="s">
        <v>5</v>
      </c>
      <c r="C12" s="96">
        <v>5343539.3499999996</v>
      </c>
      <c r="D12" s="60">
        <v>5908568</v>
      </c>
      <c r="E12" s="60">
        <v>2634327.7779999999</v>
      </c>
      <c r="F12" s="100">
        <v>4370727.642</v>
      </c>
      <c r="G12" s="43">
        <v>4662035.2149999999</v>
      </c>
      <c r="H12" s="96">
        <v>5325475</v>
      </c>
      <c r="J12" s="111"/>
    </row>
    <row r="13" spans="1:10" x14ac:dyDescent="0.3">
      <c r="B13" s="93" t="s">
        <v>6</v>
      </c>
      <c r="C13" s="94">
        <v>4285939.1500000004</v>
      </c>
      <c r="D13" s="94">
        <v>3975371</v>
      </c>
      <c r="E13" s="101">
        <v>3858715.5279999999</v>
      </c>
      <c r="F13" s="98">
        <v>3726175.2439999999</v>
      </c>
      <c r="G13" s="94">
        <v>4591072</v>
      </c>
      <c r="H13" s="94">
        <v>4403537</v>
      </c>
      <c r="J13" s="111"/>
    </row>
    <row r="14" spans="1:10" x14ac:dyDescent="0.3">
      <c r="B14" s="95" t="s">
        <v>7</v>
      </c>
      <c r="C14" s="96">
        <v>1100469.01</v>
      </c>
      <c r="D14" s="96">
        <v>937515</v>
      </c>
      <c r="E14" s="60">
        <v>392378.42499999999</v>
      </c>
      <c r="F14" s="100">
        <v>434699.94699999999</v>
      </c>
      <c r="G14" s="96">
        <v>536643</v>
      </c>
      <c r="H14" s="96">
        <v>587085</v>
      </c>
      <c r="J14" s="111"/>
    </row>
    <row r="15" spans="1:10" x14ac:dyDescent="0.3">
      <c r="B15" s="93" t="s">
        <v>8</v>
      </c>
      <c r="C15" s="94">
        <v>401383.21</v>
      </c>
      <c r="D15" s="94">
        <v>489650</v>
      </c>
      <c r="E15" s="101">
        <v>22244.172999999999</v>
      </c>
      <c r="F15" s="98">
        <v>34956.951999999997</v>
      </c>
      <c r="G15" s="94">
        <v>53046</v>
      </c>
      <c r="H15" s="94">
        <v>44233</v>
      </c>
      <c r="J15" s="111"/>
    </row>
    <row r="16" spans="1:10" x14ac:dyDescent="0.3">
      <c r="B16" s="95" t="s">
        <v>9</v>
      </c>
      <c r="C16" s="96">
        <v>159888</v>
      </c>
      <c r="D16" s="96">
        <v>236666</v>
      </c>
      <c r="E16" s="60">
        <v>23471.302</v>
      </c>
      <c r="F16" s="100">
        <v>139056.421</v>
      </c>
      <c r="G16" s="96">
        <v>102864</v>
      </c>
      <c r="H16" s="96">
        <v>150955</v>
      </c>
      <c r="J16" s="111"/>
    </row>
    <row r="17" spans="2:10" x14ac:dyDescent="0.3">
      <c r="B17" s="93" t="s">
        <v>10</v>
      </c>
      <c r="C17" s="94">
        <v>143024.29999999999</v>
      </c>
      <c r="D17" s="94">
        <v>158779</v>
      </c>
      <c r="E17" s="94">
        <v>0</v>
      </c>
      <c r="F17" s="98">
        <v>0</v>
      </c>
      <c r="G17" s="94">
        <v>0</v>
      </c>
      <c r="H17" s="98">
        <v>0</v>
      </c>
      <c r="J17" s="111"/>
    </row>
    <row r="18" spans="2:10" x14ac:dyDescent="0.3">
      <c r="B18" s="95" t="s">
        <v>58</v>
      </c>
      <c r="C18" s="96">
        <v>68978</v>
      </c>
      <c r="D18" s="96">
        <v>70807</v>
      </c>
      <c r="E18" s="60">
        <v>220705.36</v>
      </c>
      <c r="F18" s="100">
        <v>75124.600000000006</v>
      </c>
      <c r="G18" s="96">
        <v>134122</v>
      </c>
      <c r="H18" s="96">
        <v>80500</v>
      </c>
      <c r="J18" s="111"/>
    </row>
    <row r="19" spans="2:10" x14ac:dyDescent="0.3">
      <c r="B19" s="93" t="s">
        <v>12</v>
      </c>
      <c r="C19" s="94">
        <v>0</v>
      </c>
      <c r="D19" s="94">
        <v>23822</v>
      </c>
      <c r="E19" s="94">
        <v>163134.48000000001</v>
      </c>
      <c r="F19" s="98">
        <v>320539.98700000002</v>
      </c>
      <c r="G19" s="94">
        <v>346470</v>
      </c>
      <c r="H19" s="94">
        <v>432667</v>
      </c>
      <c r="J19" s="111"/>
    </row>
    <row r="20" spans="2:10" x14ac:dyDescent="0.3">
      <c r="B20" s="95" t="s">
        <v>2</v>
      </c>
      <c r="C20" s="10"/>
      <c r="D20" s="100"/>
      <c r="E20" s="96">
        <v>233994.81</v>
      </c>
      <c r="F20" s="100">
        <v>6990.9359999999997</v>
      </c>
      <c r="G20" s="96">
        <v>37379</v>
      </c>
      <c r="H20" s="96">
        <v>31156</v>
      </c>
      <c r="J20" s="111"/>
    </row>
    <row r="21" spans="2:10" x14ac:dyDescent="0.3">
      <c r="B21" s="93" t="s">
        <v>37</v>
      </c>
      <c r="C21" s="94"/>
      <c r="D21" s="94"/>
      <c r="E21" s="94"/>
      <c r="F21" s="98"/>
      <c r="G21" s="94"/>
      <c r="H21" s="94"/>
      <c r="J21" s="111"/>
    </row>
    <row r="22" spans="2:10" x14ac:dyDescent="0.3">
      <c r="B22" s="55" t="s">
        <v>1</v>
      </c>
      <c r="C22" s="97">
        <f t="shared" ref="C22:H22" si="0">SUM(C8:C20)</f>
        <v>101064948.27999999</v>
      </c>
      <c r="D22" s="97">
        <f t="shared" si="0"/>
        <v>76857334</v>
      </c>
      <c r="E22" s="97">
        <f t="shared" si="0"/>
        <v>77936775.386999995</v>
      </c>
      <c r="F22" s="97">
        <f t="shared" si="0"/>
        <v>80885507.387000024</v>
      </c>
      <c r="G22" s="97">
        <f t="shared" si="0"/>
        <v>81772128.794</v>
      </c>
      <c r="H22" s="97">
        <f t="shared" si="0"/>
        <v>83918558</v>
      </c>
      <c r="J22" s="110"/>
    </row>
    <row r="23" spans="2:10" x14ac:dyDescent="0.3">
      <c r="J23" s="110"/>
    </row>
    <row r="24" spans="2:10" x14ac:dyDescent="0.3">
      <c r="J24" s="110"/>
    </row>
    <row r="25" spans="2:10" x14ac:dyDescent="0.3">
      <c r="B25" s="91" t="s">
        <v>0</v>
      </c>
      <c r="C25" s="92" t="s">
        <v>13</v>
      </c>
      <c r="D25" s="92" t="s">
        <v>14</v>
      </c>
      <c r="E25" s="92" t="s">
        <v>15</v>
      </c>
      <c r="F25" s="92" t="s">
        <v>16</v>
      </c>
      <c r="G25" s="92" t="s">
        <v>17</v>
      </c>
      <c r="H25" s="92" t="s">
        <v>18</v>
      </c>
      <c r="J25" s="110"/>
    </row>
    <row r="26" spans="2:10" x14ac:dyDescent="0.3">
      <c r="B26" s="93" t="s">
        <v>41</v>
      </c>
      <c r="C26" s="103">
        <v>67889833.989999995</v>
      </c>
      <c r="D26" s="103">
        <v>45853455</v>
      </c>
      <c r="E26" s="104">
        <v>56339641.008000001</v>
      </c>
      <c r="F26" s="98">
        <v>53850477.776000001</v>
      </c>
      <c r="G26" s="94">
        <v>54132176</v>
      </c>
      <c r="H26" s="94">
        <v>55342273</v>
      </c>
    </row>
    <row r="27" spans="2:10" x14ac:dyDescent="0.3">
      <c r="B27" s="95" t="s">
        <v>3</v>
      </c>
      <c r="C27" s="105">
        <v>16243438.27</v>
      </c>
      <c r="D27" s="105">
        <v>13247976</v>
      </c>
      <c r="E27" s="106">
        <v>10076411.603</v>
      </c>
      <c r="F27" s="100">
        <v>14336264.477</v>
      </c>
      <c r="G27" s="96">
        <v>14459001</v>
      </c>
      <c r="H27" s="96">
        <v>14860017</v>
      </c>
    </row>
    <row r="28" spans="2:10" ht="27.6" x14ac:dyDescent="0.3">
      <c r="B28" s="102" t="s">
        <v>63</v>
      </c>
      <c r="C28" s="105">
        <f>SUM(C12+C11)</f>
        <v>10771994.35</v>
      </c>
      <c r="D28" s="105">
        <f t="shared" ref="D28:H28" si="1">SUM(D12+D11)</f>
        <v>11863293</v>
      </c>
      <c r="E28" s="105">
        <f t="shared" si="1"/>
        <v>6606078.6979999999</v>
      </c>
      <c r="F28" s="96">
        <f t="shared" si="1"/>
        <v>7961221.0470000003</v>
      </c>
      <c r="G28" s="96">
        <f t="shared" si="1"/>
        <v>7379355.7939999998</v>
      </c>
      <c r="H28" s="96">
        <f t="shared" si="1"/>
        <v>7986135</v>
      </c>
    </row>
    <row r="29" spans="2:10" x14ac:dyDescent="0.3">
      <c r="B29" s="93" t="s">
        <v>6</v>
      </c>
      <c r="C29" s="103">
        <v>4285939.1500000004</v>
      </c>
      <c r="D29" s="103">
        <v>3975371</v>
      </c>
      <c r="E29" s="104">
        <v>3858715.5279999999</v>
      </c>
      <c r="F29" s="98">
        <v>3726175.2439999999</v>
      </c>
      <c r="G29" s="94">
        <v>4591072</v>
      </c>
      <c r="H29" s="94">
        <v>4403537</v>
      </c>
    </row>
    <row r="30" spans="2:10" x14ac:dyDescent="0.3">
      <c r="B30" s="95" t="s">
        <v>7</v>
      </c>
      <c r="C30" s="105">
        <v>1100469.01</v>
      </c>
      <c r="D30" s="105">
        <v>937515</v>
      </c>
      <c r="E30" s="106">
        <v>392378.42499999999</v>
      </c>
      <c r="F30" s="100">
        <v>434699.94699999999</v>
      </c>
      <c r="G30" s="96">
        <v>536643</v>
      </c>
      <c r="H30" s="96">
        <v>587085</v>
      </c>
    </row>
    <row r="31" spans="2:10" x14ac:dyDescent="0.3">
      <c r="B31" s="93" t="s">
        <v>8</v>
      </c>
      <c r="C31" s="103">
        <v>401383.21</v>
      </c>
      <c r="D31" s="103">
        <v>489650</v>
      </c>
      <c r="E31" s="104">
        <v>22244.172999999999</v>
      </c>
      <c r="F31" s="98">
        <v>34956.951999999997</v>
      </c>
      <c r="G31" s="94">
        <v>53046</v>
      </c>
      <c r="H31" s="94">
        <v>44233</v>
      </c>
    </row>
    <row r="32" spans="2:10" x14ac:dyDescent="0.3">
      <c r="B32" s="95" t="s">
        <v>9</v>
      </c>
      <c r="C32" s="105">
        <v>159888</v>
      </c>
      <c r="D32" s="105">
        <v>236666</v>
      </c>
      <c r="E32" s="106">
        <v>23471.302</v>
      </c>
      <c r="F32" s="100">
        <v>139056.421</v>
      </c>
      <c r="G32" s="96">
        <v>102864</v>
      </c>
      <c r="H32" s="96">
        <v>150955</v>
      </c>
    </row>
    <row r="33" spans="1:20" x14ac:dyDescent="0.3">
      <c r="B33" s="93" t="s">
        <v>10</v>
      </c>
      <c r="C33" s="103">
        <v>143024.29999999999</v>
      </c>
      <c r="D33" s="103">
        <v>158779</v>
      </c>
      <c r="E33" s="103">
        <v>0</v>
      </c>
      <c r="F33" s="98">
        <v>0</v>
      </c>
      <c r="G33" s="94">
        <v>0</v>
      </c>
      <c r="H33" s="98">
        <v>0</v>
      </c>
    </row>
    <row r="34" spans="1:20" x14ac:dyDescent="0.3">
      <c r="B34" s="95" t="s">
        <v>58</v>
      </c>
      <c r="C34" s="105">
        <v>68978</v>
      </c>
      <c r="D34" s="105">
        <v>70807</v>
      </c>
      <c r="E34" s="106">
        <v>220705.36</v>
      </c>
      <c r="F34" s="100">
        <v>75124.600000000006</v>
      </c>
      <c r="G34" s="96">
        <v>134122</v>
      </c>
      <c r="H34" s="96">
        <v>80500</v>
      </c>
    </row>
    <row r="35" spans="1:20" x14ac:dyDescent="0.3">
      <c r="B35" s="93" t="s">
        <v>12</v>
      </c>
      <c r="C35" s="103">
        <v>0</v>
      </c>
      <c r="D35" s="103">
        <v>23822</v>
      </c>
      <c r="E35" s="103">
        <v>163134.48000000001</v>
      </c>
      <c r="F35" s="98">
        <v>320539.98700000002</v>
      </c>
      <c r="G35" s="94">
        <v>346470</v>
      </c>
      <c r="H35" s="94">
        <v>432667</v>
      </c>
    </row>
    <row r="36" spans="1:20" x14ac:dyDescent="0.3">
      <c r="B36" s="95" t="s">
        <v>2</v>
      </c>
      <c r="C36" s="107"/>
      <c r="D36" s="108"/>
      <c r="E36" s="105">
        <v>233994.81</v>
      </c>
      <c r="F36" s="100">
        <v>6990.9359999999997</v>
      </c>
      <c r="G36" s="96">
        <v>37379</v>
      </c>
      <c r="H36" s="96">
        <v>31156</v>
      </c>
    </row>
    <row r="37" spans="1:20" x14ac:dyDescent="0.3">
      <c r="B37" s="93" t="s">
        <v>37</v>
      </c>
      <c r="C37" s="103"/>
      <c r="D37" s="103"/>
      <c r="E37" s="103"/>
      <c r="F37" s="98"/>
      <c r="G37" s="94"/>
      <c r="H37" s="94"/>
    </row>
    <row r="38" spans="1:20" x14ac:dyDescent="0.3">
      <c r="B38" s="55" t="s">
        <v>1</v>
      </c>
      <c r="C38" s="109">
        <f t="shared" ref="C38:H38" si="2">SUM(C24:C36)</f>
        <v>101064948.27999999</v>
      </c>
      <c r="D38" s="109">
        <f t="shared" si="2"/>
        <v>76857334</v>
      </c>
      <c r="E38" s="109">
        <f t="shared" si="2"/>
        <v>77936775.386999995</v>
      </c>
      <c r="F38" s="97">
        <f t="shared" si="2"/>
        <v>80885507.387000024</v>
      </c>
      <c r="G38" s="97">
        <f t="shared" si="2"/>
        <v>81772128.794</v>
      </c>
      <c r="H38" s="97">
        <f t="shared" si="2"/>
        <v>83918558</v>
      </c>
    </row>
    <row r="41" spans="1:20" x14ac:dyDescent="0.3">
      <c r="A41" s="123" t="s">
        <v>0</v>
      </c>
      <c r="B41" s="175">
        <v>2000</v>
      </c>
      <c r="C41" s="175" t="s">
        <v>14</v>
      </c>
      <c r="D41" s="175" t="s">
        <v>15</v>
      </c>
      <c r="E41" s="175" t="s">
        <v>16</v>
      </c>
      <c r="F41" s="175" t="s">
        <v>17</v>
      </c>
      <c r="G41" s="175" t="s">
        <v>18</v>
      </c>
      <c r="H41" s="175" t="s">
        <v>19</v>
      </c>
      <c r="I41" s="175" t="s">
        <v>20</v>
      </c>
      <c r="J41" s="175" t="s">
        <v>21</v>
      </c>
      <c r="K41" s="123" t="s">
        <v>0</v>
      </c>
      <c r="L41" s="175" t="s">
        <v>22</v>
      </c>
      <c r="M41" s="175" t="s">
        <v>27</v>
      </c>
      <c r="N41" s="175" t="s">
        <v>28</v>
      </c>
      <c r="O41" s="175" t="s">
        <v>36</v>
      </c>
      <c r="P41" s="175" t="s">
        <v>53</v>
      </c>
      <c r="Q41" s="175" t="s">
        <v>55</v>
      </c>
      <c r="R41" s="175" t="s">
        <v>67</v>
      </c>
      <c r="S41" s="175" t="s">
        <v>82</v>
      </c>
      <c r="T41" s="175">
        <v>2017</v>
      </c>
    </row>
    <row r="42" spans="1:20" x14ac:dyDescent="0.3">
      <c r="A42" s="124" t="s">
        <v>41</v>
      </c>
      <c r="B42" s="125">
        <v>67889833.989999995</v>
      </c>
      <c r="C42" s="125">
        <v>45853455</v>
      </c>
      <c r="D42" s="125">
        <v>56339641.008000001</v>
      </c>
      <c r="E42" s="125">
        <v>53850477.776000001</v>
      </c>
      <c r="F42" s="125">
        <v>54132176</v>
      </c>
      <c r="G42" s="125">
        <v>55342273</v>
      </c>
      <c r="H42" s="125">
        <v>59609529</v>
      </c>
      <c r="I42" s="125">
        <v>59203647</v>
      </c>
      <c r="J42" s="125">
        <v>58235550</v>
      </c>
      <c r="K42" s="124" t="s">
        <v>41</v>
      </c>
      <c r="L42" s="125">
        <v>57214771</v>
      </c>
      <c r="M42" s="125">
        <v>53412120.715000004</v>
      </c>
      <c r="N42" s="125">
        <v>66847396.575000003</v>
      </c>
      <c r="O42" s="125">
        <v>62984536.362000003</v>
      </c>
      <c r="P42" s="125">
        <v>58074493.126000002</v>
      </c>
      <c r="Q42" s="125">
        <v>59723804.568102188</v>
      </c>
      <c r="R42" s="126">
        <v>55306859</v>
      </c>
      <c r="S42" s="126">
        <v>55948538</v>
      </c>
      <c r="T42" s="164">
        <v>63644891</v>
      </c>
    </row>
    <row r="43" spans="1:20" x14ac:dyDescent="0.3">
      <c r="A43" s="124" t="s">
        <v>3</v>
      </c>
      <c r="B43" s="125">
        <v>16243438.27</v>
      </c>
      <c r="C43" s="125">
        <v>13247976</v>
      </c>
      <c r="D43" s="125">
        <v>10076411.603</v>
      </c>
      <c r="E43" s="125">
        <v>14336264.477</v>
      </c>
      <c r="F43" s="125">
        <v>14459001</v>
      </c>
      <c r="G43" s="125">
        <v>14860017</v>
      </c>
      <c r="H43" s="125">
        <v>14245188</v>
      </c>
      <c r="I43" s="125">
        <v>14866637</v>
      </c>
      <c r="J43" s="125">
        <v>15034912</v>
      </c>
      <c r="K43" s="124" t="s">
        <v>3</v>
      </c>
      <c r="L43" s="125">
        <v>14672973</v>
      </c>
      <c r="M43" s="125">
        <v>15955167.881999999</v>
      </c>
      <c r="N43" s="125">
        <v>12900636.259</v>
      </c>
      <c r="O43" s="125">
        <v>12149258.443</v>
      </c>
      <c r="P43" s="125">
        <v>13519851.679</v>
      </c>
      <c r="Q43" s="125">
        <v>14026539.562654842</v>
      </c>
      <c r="R43" s="126">
        <v>14388993</v>
      </c>
      <c r="S43" s="126">
        <v>12338072</v>
      </c>
      <c r="T43" s="164">
        <v>12593438</v>
      </c>
    </row>
    <row r="44" spans="1:20" x14ac:dyDescent="0.3">
      <c r="A44" s="124" t="s">
        <v>4</v>
      </c>
      <c r="B44" s="125">
        <v>5428455</v>
      </c>
      <c r="C44" s="125">
        <v>5954725</v>
      </c>
      <c r="D44" s="125">
        <v>3971750.92</v>
      </c>
      <c r="E44" s="125">
        <v>3590493.4049999998</v>
      </c>
      <c r="F44" s="125">
        <v>2717320.5789999999</v>
      </c>
      <c r="G44" s="125">
        <v>2660660</v>
      </c>
      <c r="H44" s="125">
        <v>2766514.5589999999</v>
      </c>
      <c r="I44" s="125">
        <v>2157301.7480000001</v>
      </c>
      <c r="J44" s="125">
        <v>1635296.148</v>
      </c>
      <c r="K44" s="124" t="s">
        <v>4</v>
      </c>
      <c r="L44" s="125">
        <v>1867354.7879999999</v>
      </c>
      <c r="M44" s="125">
        <v>1731727.9280000001</v>
      </c>
      <c r="N44" s="125">
        <v>1319054.7660000001</v>
      </c>
      <c r="O44" s="125">
        <v>486609.09600000002</v>
      </c>
      <c r="P44" s="125">
        <v>1126515.1299999999</v>
      </c>
      <c r="Q44" s="125">
        <v>926691.09400000004</v>
      </c>
      <c r="R44" s="127"/>
      <c r="S44" s="126"/>
      <c r="T44" s="165"/>
    </row>
    <row r="45" spans="1:20" x14ac:dyDescent="0.3">
      <c r="A45" s="124" t="s">
        <v>5</v>
      </c>
      <c r="B45" s="125">
        <v>5343539.3499999996</v>
      </c>
      <c r="C45" s="125">
        <v>5908568</v>
      </c>
      <c r="D45" s="125">
        <v>2634327.7779999999</v>
      </c>
      <c r="E45" s="125">
        <v>4370727.642</v>
      </c>
      <c r="F45" s="125">
        <v>4662035.2149999999</v>
      </c>
      <c r="G45" s="125">
        <v>5325475</v>
      </c>
      <c r="H45" s="125">
        <v>4553446.5609999998</v>
      </c>
      <c r="I45" s="125">
        <v>6302442.1100000003</v>
      </c>
      <c r="J45" s="125">
        <v>7385757.4419999998</v>
      </c>
      <c r="K45" s="124" t="s">
        <v>5</v>
      </c>
      <c r="L45" s="125">
        <v>9979345.0020000003</v>
      </c>
      <c r="M45" s="125">
        <v>10476257.187000001</v>
      </c>
      <c r="N45" s="125">
        <v>5684222.966</v>
      </c>
      <c r="O45" s="125">
        <v>6952877.324</v>
      </c>
      <c r="P45" s="125">
        <v>10823275.323999999</v>
      </c>
      <c r="Q45" s="125">
        <v>9515792.4907281473</v>
      </c>
      <c r="R45" s="126">
        <v>11807835</v>
      </c>
      <c r="S45" s="126">
        <v>10055032</v>
      </c>
      <c r="T45" s="164">
        <v>10181880</v>
      </c>
    </row>
    <row r="46" spans="1:20" x14ac:dyDescent="0.3">
      <c r="A46" s="124" t="s">
        <v>6</v>
      </c>
      <c r="B46" s="125">
        <v>4285939.1500000004</v>
      </c>
      <c r="C46" s="125">
        <v>3975371</v>
      </c>
      <c r="D46" s="125">
        <v>3858715.5279999999</v>
      </c>
      <c r="E46" s="125">
        <v>3726175.2439999999</v>
      </c>
      <c r="F46" s="125">
        <v>4591072</v>
      </c>
      <c r="G46" s="125">
        <v>4403537</v>
      </c>
      <c r="H46" s="125">
        <v>4513216</v>
      </c>
      <c r="I46" s="125">
        <v>4326265</v>
      </c>
      <c r="J46" s="125">
        <v>5083665</v>
      </c>
      <c r="K46" s="124" t="s">
        <v>6</v>
      </c>
      <c r="L46" s="125">
        <v>3653541</v>
      </c>
      <c r="M46" s="125">
        <v>5430617.4440000001</v>
      </c>
      <c r="N46" s="125">
        <v>2390244.5189999999</v>
      </c>
      <c r="O46" s="125">
        <v>4239397.852</v>
      </c>
      <c r="P46" s="125">
        <v>4247504.0990000004</v>
      </c>
      <c r="Q46" s="125">
        <v>4617390.9954746496</v>
      </c>
      <c r="R46" s="126">
        <v>4021955</v>
      </c>
      <c r="S46" s="126">
        <v>4307607</v>
      </c>
      <c r="T46" s="164">
        <v>3941745</v>
      </c>
    </row>
    <row r="47" spans="1:20" x14ac:dyDescent="0.3">
      <c r="A47" s="124" t="s">
        <v>7</v>
      </c>
      <c r="B47" s="125">
        <v>1100469.01</v>
      </c>
      <c r="C47" s="125">
        <v>937515</v>
      </c>
      <c r="D47" s="125">
        <v>392378.42499999999</v>
      </c>
      <c r="E47" s="125">
        <v>434699.94699999999</v>
      </c>
      <c r="F47" s="125">
        <v>536643</v>
      </c>
      <c r="G47" s="125">
        <v>587085</v>
      </c>
      <c r="H47" s="125">
        <v>392712</v>
      </c>
      <c r="I47" s="125">
        <v>460983</v>
      </c>
      <c r="J47" s="125">
        <v>415225.78</v>
      </c>
      <c r="K47" s="124" t="s">
        <v>7</v>
      </c>
      <c r="L47" s="125">
        <v>445076.39799999999</v>
      </c>
      <c r="M47" s="125">
        <v>492371.446</v>
      </c>
      <c r="N47" s="125">
        <v>446889.57799999998</v>
      </c>
      <c r="O47" s="125">
        <v>310811.728</v>
      </c>
      <c r="P47" s="125">
        <v>260972.201</v>
      </c>
      <c r="Q47" s="125">
        <v>300416.39194897329</v>
      </c>
      <c r="R47" s="126">
        <v>401408</v>
      </c>
      <c r="S47" s="126">
        <v>684569</v>
      </c>
      <c r="T47" s="164">
        <v>562311</v>
      </c>
    </row>
    <row r="48" spans="1:20" x14ac:dyDescent="0.3">
      <c r="A48" s="124" t="s">
        <v>8</v>
      </c>
      <c r="B48" s="125">
        <v>401383.21</v>
      </c>
      <c r="C48" s="125">
        <v>489650</v>
      </c>
      <c r="D48" s="125">
        <v>22244.172999999999</v>
      </c>
      <c r="E48" s="125">
        <v>34956.951999999997</v>
      </c>
      <c r="F48" s="125">
        <v>53046</v>
      </c>
      <c r="G48" s="125">
        <v>44233</v>
      </c>
      <c r="H48" s="125">
        <v>62231.714</v>
      </c>
      <c r="I48" s="125">
        <v>69267.262000000002</v>
      </c>
      <c r="J48" s="125">
        <v>69936.697</v>
      </c>
      <c r="K48" s="124" t="s">
        <v>8</v>
      </c>
      <c r="L48" s="125">
        <v>94360.441000000006</v>
      </c>
      <c r="M48" s="125">
        <v>81372.403000000006</v>
      </c>
      <c r="N48" s="125">
        <v>68539.483999999997</v>
      </c>
      <c r="O48" s="125">
        <v>67579.567999999999</v>
      </c>
      <c r="P48" s="125">
        <v>64611.319000000003</v>
      </c>
      <c r="Q48" s="125">
        <v>59674.446021880045</v>
      </c>
      <c r="R48" s="126">
        <v>47108</v>
      </c>
      <c r="S48" s="126">
        <v>65498</v>
      </c>
      <c r="T48" s="164">
        <v>103244</v>
      </c>
    </row>
    <row r="49" spans="1:20" x14ac:dyDescent="0.3">
      <c r="A49" s="124" t="s">
        <v>9</v>
      </c>
      <c r="B49" s="125">
        <v>159888</v>
      </c>
      <c r="C49" s="125">
        <v>236666</v>
      </c>
      <c r="D49" s="125">
        <v>23471.302</v>
      </c>
      <c r="E49" s="125">
        <v>139056.421</v>
      </c>
      <c r="F49" s="125">
        <v>102864</v>
      </c>
      <c r="G49" s="125">
        <v>150955</v>
      </c>
      <c r="H49" s="125">
        <v>331963</v>
      </c>
      <c r="I49" s="125">
        <v>288528</v>
      </c>
      <c r="J49" s="125">
        <v>276668.90399999998</v>
      </c>
      <c r="K49" s="124" t="s">
        <v>9</v>
      </c>
      <c r="L49" s="125">
        <v>296179.5</v>
      </c>
      <c r="M49" s="125">
        <v>332719.18699999998</v>
      </c>
      <c r="N49" s="125">
        <v>336947.68099999998</v>
      </c>
      <c r="O49" s="125">
        <v>303066.17</v>
      </c>
      <c r="P49" s="125">
        <v>221914.345</v>
      </c>
      <c r="Q49" s="125">
        <v>203960.34999549703</v>
      </c>
      <c r="R49" s="126">
        <v>158887</v>
      </c>
      <c r="S49" s="126">
        <v>113732</v>
      </c>
      <c r="T49" s="166">
        <v>172753</v>
      </c>
    </row>
    <row r="50" spans="1:20" x14ac:dyDescent="0.3">
      <c r="A50" s="124" t="s">
        <v>10</v>
      </c>
      <c r="B50" s="125">
        <v>143024.29999999999</v>
      </c>
      <c r="C50" s="125">
        <v>158779</v>
      </c>
      <c r="D50" s="125">
        <v>0</v>
      </c>
      <c r="E50" s="125">
        <v>0</v>
      </c>
      <c r="F50" s="125">
        <v>0</v>
      </c>
      <c r="G50" s="125">
        <v>0</v>
      </c>
      <c r="H50" s="125">
        <v>14399.46</v>
      </c>
      <c r="I50" s="125">
        <v>11189.054</v>
      </c>
      <c r="J50" s="125">
        <v>16865.677</v>
      </c>
      <c r="K50" s="124" t="s">
        <v>10</v>
      </c>
      <c r="L50" s="125">
        <v>19237.288</v>
      </c>
      <c r="M50" s="125">
        <v>17375.66</v>
      </c>
      <c r="N50" s="125">
        <v>18107.003000000001</v>
      </c>
      <c r="O50" s="125">
        <v>17003.18</v>
      </c>
      <c r="P50" s="125">
        <v>16138.138999999999</v>
      </c>
      <c r="Q50" s="125">
        <v>17911.256000000001</v>
      </c>
      <c r="R50" s="126">
        <v>16085</v>
      </c>
      <c r="S50" s="126"/>
      <c r="T50" s="167">
        <v>0</v>
      </c>
    </row>
    <row r="51" spans="1:20" x14ac:dyDescent="0.3">
      <c r="A51" s="124" t="s">
        <v>58</v>
      </c>
      <c r="B51" s="125">
        <v>68978</v>
      </c>
      <c r="C51" s="125">
        <v>70807</v>
      </c>
      <c r="D51" s="125">
        <v>220705.36</v>
      </c>
      <c r="E51" s="125">
        <v>75124.600000000006</v>
      </c>
      <c r="F51" s="125">
        <v>134122</v>
      </c>
      <c r="G51" s="125">
        <v>80500</v>
      </c>
      <c r="H51" s="125">
        <v>57857.902000000002</v>
      </c>
      <c r="I51" s="125">
        <v>49040.764999999999</v>
      </c>
      <c r="J51" s="125">
        <v>23043.042000000001</v>
      </c>
      <c r="K51" s="124" t="s">
        <v>58</v>
      </c>
      <c r="L51" s="125">
        <v>16058.359</v>
      </c>
      <c r="M51" s="125">
        <v>18787.384999999998</v>
      </c>
      <c r="N51" s="125">
        <v>49209.462</v>
      </c>
      <c r="O51" s="125">
        <v>83664.820999999996</v>
      </c>
      <c r="P51" s="125">
        <v>60741.197999999997</v>
      </c>
      <c r="Q51" s="125">
        <v>104431.29671593619</v>
      </c>
      <c r="R51" s="126">
        <v>133132</v>
      </c>
      <c r="S51" s="126">
        <v>148177</v>
      </c>
      <c r="T51" s="164">
        <v>121566</v>
      </c>
    </row>
    <row r="52" spans="1:20" x14ac:dyDescent="0.3">
      <c r="A52" s="124" t="s">
        <v>12</v>
      </c>
      <c r="B52" s="125">
        <v>0</v>
      </c>
      <c r="C52" s="125">
        <v>23822</v>
      </c>
      <c r="D52" s="125">
        <v>163134.48000000001</v>
      </c>
      <c r="E52" s="125">
        <v>320539.98700000002</v>
      </c>
      <c r="F52" s="125">
        <v>346470</v>
      </c>
      <c r="G52" s="125">
        <v>432667</v>
      </c>
      <c r="H52" s="125">
        <v>867392</v>
      </c>
      <c r="I52" s="125">
        <v>545622</v>
      </c>
      <c r="J52" s="125">
        <v>1010928</v>
      </c>
      <c r="K52" s="124" t="s">
        <v>12</v>
      </c>
      <c r="L52" s="125">
        <v>587994</v>
      </c>
      <c r="M52" s="125">
        <v>567280.99399999995</v>
      </c>
      <c r="N52" s="125">
        <v>1017701.777</v>
      </c>
      <c r="O52" s="125">
        <v>3011137.4070000001</v>
      </c>
      <c r="P52" s="125">
        <v>2859414.9079999998</v>
      </c>
      <c r="Q52" s="125">
        <v>2219612.94</v>
      </c>
      <c r="R52" s="126">
        <v>2029032</v>
      </c>
      <c r="S52" s="126">
        <v>3661267</v>
      </c>
      <c r="T52" s="164">
        <v>2674081</v>
      </c>
    </row>
    <row r="53" spans="1:20" x14ac:dyDescent="0.3">
      <c r="A53" s="124" t="s">
        <v>2</v>
      </c>
      <c r="B53" s="125"/>
      <c r="C53" s="125"/>
      <c r="D53" s="125">
        <v>233994.81</v>
      </c>
      <c r="E53" s="125">
        <v>6990.9359999999997</v>
      </c>
      <c r="F53" s="125">
        <v>37379</v>
      </c>
      <c r="G53" s="125">
        <v>31156</v>
      </c>
      <c r="H53" s="125">
        <v>10863.061</v>
      </c>
      <c r="I53" s="125">
        <v>12923.103999999999</v>
      </c>
      <c r="J53" s="125">
        <v>19390.588</v>
      </c>
      <c r="K53" s="124" t="s">
        <v>2</v>
      </c>
      <c r="L53" s="125">
        <v>28649.909</v>
      </c>
      <c r="M53" s="125">
        <v>28504.384999999998</v>
      </c>
      <c r="N53" s="125">
        <v>27306.823</v>
      </c>
      <c r="O53" s="125">
        <v>36395.506999999998</v>
      </c>
      <c r="P53" s="125">
        <v>39528.330999999998</v>
      </c>
      <c r="Q53" s="125">
        <v>59964.44435788547</v>
      </c>
      <c r="R53" s="126"/>
      <c r="S53" s="126">
        <v>48095</v>
      </c>
      <c r="T53" s="164">
        <v>36678</v>
      </c>
    </row>
    <row r="54" spans="1:20" x14ac:dyDescent="0.3">
      <c r="A54" s="124" t="s">
        <v>37</v>
      </c>
      <c r="B54" s="125"/>
      <c r="C54" s="125"/>
      <c r="D54" s="125"/>
      <c r="E54" s="125"/>
      <c r="F54" s="125"/>
      <c r="G54" s="125"/>
      <c r="H54" s="125"/>
      <c r="I54" s="125"/>
      <c r="J54" s="125"/>
      <c r="K54" s="124" t="s">
        <v>37</v>
      </c>
      <c r="L54" s="125"/>
      <c r="M54" s="125"/>
      <c r="N54" s="125"/>
      <c r="O54" s="125">
        <v>1433.0440000000001</v>
      </c>
      <c r="P54" s="125">
        <v>1709.0319999999999</v>
      </c>
      <c r="Q54" s="125">
        <v>6618.384</v>
      </c>
      <c r="R54" s="126">
        <v>8807</v>
      </c>
      <c r="S54" s="126">
        <v>3491</v>
      </c>
      <c r="T54" s="167">
        <v>3071</v>
      </c>
    </row>
    <row r="55" spans="1:20" x14ac:dyDescent="0.3">
      <c r="A55" s="124" t="s">
        <v>1</v>
      </c>
      <c r="B55" s="172">
        <v>101064948.27999999</v>
      </c>
      <c r="C55" s="172">
        <v>76857334</v>
      </c>
      <c r="D55" s="172">
        <v>77936775.386999995</v>
      </c>
      <c r="E55" s="172">
        <v>80885507.387000024</v>
      </c>
      <c r="F55" s="172">
        <v>81772128.794</v>
      </c>
      <c r="G55" s="172">
        <v>83918558</v>
      </c>
      <c r="H55" s="172">
        <v>87425313.256999999</v>
      </c>
      <c r="I55" s="172">
        <v>88293846.042999998</v>
      </c>
      <c r="J55" s="172">
        <v>89207239.277999997</v>
      </c>
      <c r="K55" s="124" t="s">
        <v>1</v>
      </c>
      <c r="L55" s="172">
        <v>88875540.685000002</v>
      </c>
      <c r="M55" s="172">
        <v>88544302.616000026</v>
      </c>
      <c r="N55" s="172">
        <v>91106256.892999992</v>
      </c>
      <c r="O55" s="172">
        <v>90643770.502000019</v>
      </c>
      <c r="P55" s="172">
        <v>91316668.83100003</v>
      </c>
      <c r="Q55" s="172">
        <v>91782808.219999999</v>
      </c>
      <c r="R55" s="173">
        <v>88320101</v>
      </c>
      <c r="S55" s="173">
        <v>87374078</v>
      </c>
      <c r="T55" s="174">
        <v>94035658</v>
      </c>
    </row>
    <row r="57" spans="1:20" x14ac:dyDescent="0.3">
      <c r="A57" t="str">
        <f>'Fossil Fuel Emissions'!A1</f>
        <v>Fossil Fuel Emissions from Electricity Production</v>
      </c>
    </row>
    <row r="58" spans="1:20" x14ac:dyDescent="0.3">
      <c r="A58" t="str">
        <f>'Fossil Fuel Emissions'!A2</f>
        <v>Short Tons</v>
      </c>
    </row>
    <row r="59" spans="1:20" ht="18" customHeight="1" x14ac:dyDescent="0.3">
      <c r="A59" s="129" t="s">
        <v>84</v>
      </c>
      <c r="B59" s="129">
        <v>2005</v>
      </c>
      <c r="C59" s="129">
        <f>'Fossil Fuel Emissions'!F4</f>
        <v>2006</v>
      </c>
      <c r="D59" s="129">
        <f>'Fossil Fuel Emissions'!G4</f>
        <v>2007</v>
      </c>
      <c r="E59" s="129">
        <f>'Fossil Fuel Emissions'!H4</f>
        <v>2008</v>
      </c>
      <c r="F59" s="129">
        <f>'Fossil Fuel Emissions'!I4</f>
        <v>2009</v>
      </c>
      <c r="G59" s="129">
        <f>'Fossil Fuel Emissions'!J4</f>
        <v>2010</v>
      </c>
      <c r="H59" s="129">
        <f>'Fossil Fuel Emissions'!K4</f>
        <v>2011</v>
      </c>
      <c r="I59" s="129">
        <f>'Fossil Fuel Emissions'!L4</f>
        <v>2012</v>
      </c>
      <c r="J59" s="129">
        <f>'Fossil Fuel Emissions'!M4</f>
        <v>2013</v>
      </c>
      <c r="K59" s="129">
        <f>'Fossil Fuel Emissions'!N4</f>
        <v>2014</v>
      </c>
      <c r="L59" s="129">
        <f>'Fossil Fuel Emissions'!O4</f>
        <v>2015</v>
      </c>
      <c r="M59" s="129">
        <f>'Fossil Fuel Emissions'!P4</f>
        <v>2016</v>
      </c>
      <c r="N59" s="129">
        <f>'Fossil Fuel Emissions'!Q4</f>
        <v>2017</v>
      </c>
    </row>
    <row r="60" spans="1:20" x14ac:dyDescent="0.3">
      <c r="A60" s="124" t="str">
        <f>'Fossil Fuel Emissions'!A5</f>
        <v xml:space="preserve">Coal </v>
      </c>
      <c r="B60" s="130">
        <f>'Fossil Fuel Emissions'!E5</f>
        <v>16801894</v>
      </c>
      <c r="C60" s="130">
        <f>'Fossil Fuel Emissions'!F5</f>
        <v>16192193</v>
      </c>
      <c r="D60" s="130">
        <f>'Fossil Fuel Emissions'!G5</f>
        <v>16807612</v>
      </c>
      <c r="E60" s="130">
        <f>'Fossil Fuel Emissions'!H5</f>
        <v>16623196</v>
      </c>
      <c r="F60" s="130">
        <f>'Fossil Fuel Emissions'!I5</f>
        <v>16184895</v>
      </c>
      <c r="G60" s="130">
        <f>'Fossil Fuel Emissions'!J5</f>
        <v>17446654.929000001</v>
      </c>
      <c r="H60" s="130">
        <f>'Fossil Fuel Emissions'!K5</f>
        <v>14131167.890000001</v>
      </c>
      <c r="I60" s="130">
        <f>'Fossil Fuel Emissions'!L5</f>
        <v>13315348.472999999</v>
      </c>
      <c r="J60" s="130">
        <f>'Fossil Fuel Emissions'!M5</f>
        <v>14707901.372</v>
      </c>
      <c r="K60" s="130">
        <f>'Fossil Fuel Emissions'!N5</f>
        <v>15388816.629212292</v>
      </c>
      <c r="L60" s="130">
        <f>'Fossil Fuel Emissions'!O5</f>
        <v>15468167.475</v>
      </c>
      <c r="M60" s="130">
        <f>'Fossil Fuel Emissions'!P5</f>
        <v>13786065</v>
      </c>
      <c r="N60" s="130">
        <f>'Fossil Fuel Emissions'!Q5</f>
        <v>13222812.987</v>
      </c>
    </row>
    <row r="61" spans="1:20" x14ac:dyDescent="0.3">
      <c r="A61" s="124" t="str">
        <f>'Fossil Fuel Emissions'!A6</f>
        <v>Natural Gas</v>
      </c>
      <c r="B61" s="130">
        <f>'Fossil Fuel Emissions'!E6</f>
        <v>3983081</v>
      </c>
      <c r="C61" s="130">
        <f>'Fossil Fuel Emissions'!F6</f>
        <v>3690128</v>
      </c>
      <c r="D61" s="130">
        <f>'Fossil Fuel Emissions'!G6</f>
        <v>4231567</v>
      </c>
      <c r="E61" s="130">
        <f>'Fossil Fuel Emissions'!H6</f>
        <v>3999440</v>
      </c>
      <c r="F61" s="130">
        <f>'Fossil Fuel Emissions'!I6</f>
        <v>5294879</v>
      </c>
      <c r="G61" s="130">
        <f>'Fossil Fuel Emissions'!J6</f>
        <v>5332433.108</v>
      </c>
      <c r="H61" s="130">
        <f>'Fossil Fuel Emissions'!K6</f>
        <v>3081956.3689999999</v>
      </c>
      <c r="I61" s="130">
        <f>'Fossil Fuel Emissions'!L6</f>
        <v>3246820.952</v>
      </c>
      <c r="J61" s="130">
        <f>'Fossil Fuel Emissions'!M6</f>
        <v>5306865.057</v>
      </c>
      <c r="K61" s="130">
        <f>'Fossil Fuel Emissions'!N6</f>
        <v>4585795.4732845128</v>
      </c>
      <c r="L61" s="130">
        <f>'Fossil Fuel Emissions'!O6</f>
        <v>5416549.625</v>
      </c>
      <c r="M61" s="130">
        <f>'Fossil Fuel Emissions'!P6</f>
        <v>4713692</v>
      </c>
      <c r="N61" s="130">
        <f>'Fossil Fuel Emissions'!Q6</f>
        <v>4585970.3310000002</v>
      </c>
    </row>
    <row r="62" spans="1:20" x14ac:dyDescent="0.3">
      <c r="A62" s="124" t="str">
        <f>'Fossil Fuel Emissions'!A7</f>
        <v xml:space="preserve">Waste </v>
      </c>
      <c r="B62" s="130">
        <f>'Fossil Fuel Emissions'!E7</f>
        <v>235470</v>
      </c>
      <c r="C62" s="130">
        <f>'Fossil Fuel Emissions'!F7</f>
        <v>132414</v>
      </c>
      <c r="D62" s="130">
        <f>'Fossil Fuel Emissions'!G7</f>
        <v>133872</v>
      </c>
      <c r="E62" s="130">
        <f>'Fossil Fuel Emissions'!H7</f>
        <v>122435</v>
      </c>
      <c r="F62" s="130">
        <f>'Fossil Fuel Emissions'!I7</f>
        <v>128390</v>
      </c>
      <c r="G62" s="130">
        <f>'Fossil Fuel Emissions'!J7</f>
        <v>139575.291</v>
      </c>
      <c r="H62" s="130">
        <f>'Fossil Fuel Emissions'!K7</f>
        <v>146862.842</v>
      </c>
      <c r="I62" s="130">
        <f>'Fossil Fuel Emissions'!L7</f>
        <v>101207.819</v>
      </c>
      <c r="J62" s="130">
        <f>'Fossil Fuel Emissions'!M7</f>
        <v>80093.183999999994</v>
      </c>
      <c r="K62" s="130">
        <f>'Fossil Fuel Emissions'!N7</f>
        <v>104993.20988954855</v>
      </c>
      <c r="L62" s="130">
        <f>'Fossil Fuel Emissions'!O7</f>
        <v>109880.10799999999</v>
      </c>
      <c r="M62" s="130">
        <f>'Fossil Fuel Emissions'!P7</f>
        <v>109384</v>
      </c>
      <c r="N62" s="130">
        <f>'Fossil Fuel Emissions'!Q7</f>
        <v>108872.723</v>
      </c>
    </row>
    <row r="63" spans="1:20" x14ac:dyDescent="0.3">
      <c r="A63" s="124" t="str">
        <f>'Fossil Fuel Emissions'!A8</f>
        <v>Petroleum</v>
      </c>
      <c r="B63" s="130">
        <f>'Fossil Fuel Emissions'!E8</f>
        <v>40411</v>
      </c>
      <c r="C63" s="130">
        <f>'Fossil Fuel Emissions'!F8</f>
        <v>93863</v>
      </c>
      <c r="D63" s="130">
        <f>'Fossil Fuel Emissions'!G8</f>
        <v>105428</v>
      </c>
      <c r="E63" s="130">
        <f>'Fossil Fuel Emissions'!H8</f>
        <v>111529</v>
      </c>
      <c r="F63" s="130">
        <f>'Fossil Fuel Emissions'!I8</f>
        <v>133445</v>
      </c>
      <c r="G63" s="130">
        <f>'Fossil Fuel Emissions'!J8</f>
        <v>120418.629</v>
      </c>
      <c r="H63" s="130">
        <f>'Fossil Fuel Emissions'!K8</f>
        <v>76738.457999999999</v>
      </c>
      <c r="I63" s="130">
        <f>'Fossil Fuel Emissions'!L8</f>
        <v>75655.854999999996</v>
      </c>
      <c r="J63" s="130">
        <f>'Fossil Fuel Emissions'!M8</f>
        <v>74618.245999999999</v>
      </c>
      <c r="K63" s="130">
        <f>'Fossil Fuel Emissions'!N8</f>
        <v>66774.786290258839</v>
      </c>
      <c r="L63" s="130">
        <f>'Fossil Fuel Emissions'!O8</f>
        <v>79656.335999999996</v>
      </c>
      <c r="M63" s="130">
        <f>'Fossil Fuel Emissions'!P8</f>
        <v>66325</v>
      </c>
      <c r="N63" s="130">
        <f>'Fossil Fuel Emissions'!Q8</f>
        <v>79179</v>
      </c>
    </row>
    <row r="64" spans="1:20" x14ac:dyDescent="0.3">
      <c r="A64" s="124" t="str">
        <f>'Fossil Fuel Emissions'!A9</f>
        <v xml:space="preserve">Landfill Gases </v>
      </c>
      <c r="B64" s="130">
        <f>'Fossil Fuel Emissions'!E9</f>
        <v>0</v>
      </c>
      <c r="C64" s="130">
        <f>'Fossil Fuel Emissions'!F9</f>
        <v>33923</v>
      </c>
      <c r="D64" s="130">
        <f>'Fossil Fuel Emissions'!G9</f>
        <v>28215</v>
      </c>
      <c r="E64" s="130">
        <f>'Fossil Fuel Emissions'!H9</f>
        <v>14342</v>
      </c>
      <c r="F64" s="130">
        <f>'Fossil Fuel Emissions'!I9</f>
        <v>10016</v>
      </c>
      <c r="G64" s="130">
        <f>'Fossil Fuel Emissions'!J9</f>
        <v>10693.619000000001</v>
      </c>
      <c r="H64" s="130">
        <f>'Fossil Fuel Emissions'!K9</f>
        <v>33894.17</v>
      </c>
      <c r="I64" s="130">
        <f>'Fossil Fuel Emissions'!L9</f>
        <v>57696.461000000003</v>
      </c>
      <c r="J64" s="130">
        <f>'Fossil Fuel Emissions'!M9</f>
        <v>43376.118000000002</v>
      </c>
      <c r="K64" s="130">
        <f>'Fossil Fuel Emissions'!N9</f>
        <v>75497.692437414866</v>
      </c>
      <c r="L64" s="130">
        <f>'Fossil Fuel Emissions'!O9</f>
        <v>73299.294999999998</v>
      </c>
      <c r="M64" s="130">
        <f>'Fossil Fuel Emissions'!P9</f>
        <v>67161</v>
      </c>
      <c r="N64" s="130">
        <f>'Fossil Fuel Emissions'!Q9</f>
        <v>74856.077999999994</v>
      </c>
    </row>
    <row r="65" spans="1:14" x14ac:dyDescent="0.3">
      <c r="A65" s="124" t="str">
        <f>'Fossil Fuel Emissions'!A10</f>
        <v>Other</v>
      </c>
      <c r="B65" s="130">
        <f>'Fossil Fuel Emissions'!E10</f>
        <v>0</v>
      </c>
      <c r="C65" s="130">
        <f>'Fossil Fuel Emissions'!F10</f>
        <v>3631</v>
      </c>
      <c r="D65" s="130">
        <f>'Fossil Fuel Emissions'!G10</f>
        <v>4959</v>
      </c>
      <c r="E65" s="130">
        <f>'Fossil Fuel Emissions'!H10</f>
        <v>0</v>
      </c>
      <c r="F65" s="130">
        <f>'Fossil Fuel Emissions'!I10</f>
        <v>0</v>
      </c>
      <c r="G65" s="130">
        <f>'Fossil Fuel Emissions'!J10</f>
        <v>0</v>
      </c>
      <c r="H65" s="130">
        <f>'Fossil Fuel Emissions'!K10</f>
        <v>0</v>
      </c>
      <c r="I65" s="130">
        <f>'Fossil Fuel Emissions'!L10</f>
        <v>0</v>
      </c>
      <c r="J65" s="130">
        <f>'Fossil Fuel Emissions'!M10</f>
        <v>0</v>
      </c>
      <c r="K65" s="130">
        <f>'Fossil Fuel Emissions'!N10</f>
        <v>0</v>
      </c>
      <c r="L65" s="130">
        <f>'Fossil Fuel Emissions'!O10</f>
        <v>0</v>
      </c>
      <c r="M65" s="130">
        <f>'Fossil Fuel Emissions'!P10</f>
        <v>102173</v>
      </c>
      <c r="N65" s="130">
        <f>'Fossil Fuel Emissions'!Q10</f>
        <v>69961</v>
      </c>
    </row>
    <row r="66" spans="1:14" x14ac:dyDescent="0.3">
      <c r="A66" s="124" t="str">
        <f>'Fossil Fuel Emissions'!A11</f>
        <v>Total (short tons)</v>
      </c>
      <c r="B66" s="131">
        <f>'Fossil Fuel Emissions'!E11</f>
        <v>21060856</v>
      </c>
      <c r="C66" s="131">
        <f>'Fossil Fuel Emissions'!F11</f>
        <v>20146152</v>
      </c>
      <c r="D66" s="131">
        <f>'Fossil Fuel Emissions'!G11</f>
        <v>21311653</v>
      </c>
      <c r="E66" s="131">
        <f>'Fossil Fuel Emissions'!H11</f>
        <v>20870942</v>
      </c>
      <c r="F66" s="131">
        <f>'Fossil Fuel Emissions'!I11</f>
        <v>21751625</v>
      </c>
      <c r="G66" s="131">
        <f>'Fossil Fuel Emissions'!J11</f>
        <v>23049775.576000001</v>
      </c>
      <c r="H66" s="131">
        <f>'Fossil Fuel Emissions'!K11</f>
        <v>17470619.729000002</v>
      </c>
      <c r="I66" s="131">
        <f>'Fossil Fuel Emissions'!L11</f>
        <v>16796729.559999999</v>
      </c>
      <c r="J66" s="131">
        <f>'Fossil Fuel Emissions'!M11</f>
        <v>20212853.976999998</v>
      </c>
      <c r="K66" s="131">
        <f>'Fossil Fuel Emissions'!N11</f>
        <v>20221877.791114025</v>
      </c>
      <c r="L66" s="131">
        <f>'Fossil Fuel Emissions'!O11</f>
        <v>21147552.839000002</v>
      </c>
      <c r="M66" s="131">
        <f>'Fossil Fuel Emissions'!P11</f>
        <v>18844800</v>
      </c>
      <c r="N66" s="131">
        <f>'Fossil Fuel Emissions'!Q11</f>
        <v>18141652.119000003</v>
      </c>
    </row>
    <row r="67" spans="1:14" x14ac:dyDescent="0.3">
      <c r="A67" t="str">
        <f>'Fossil Fuel Emissions'!A31</f>
        <v>Metric Tons</v>
      </c>
    </row>
    <row r="68" spans="1:14" ht="16.2" customHeight="1" x14ac:dyDescent="0.3">
      <c r="A68" s="129" t="str">
        <f>A59</f>
        <v>Fuel</v>
      </c>
      <c r="B68" s="129">
        <v>2005</v>
      </c>
      <c r="C68" s="129">
        <f t="shared" ref="C68:M68" si="3">C59</f>
        <v>2006</v>
      </c>
      <c r="D68" s="129">
        <f t="shared" si="3"/>
        <v>2007</v>
      </c>
      <c r="E68" s="129">
        <f t="shared" si="3"/>
        <v>2008</v>
      </c>
      <c r="F68" s="129">
        <f t="shared" si="3"/>
        <v>2009</v>
      </c>
      <c r="G68" s="129">
        <f t="shared" si="3"/>
        <v>2010</v>
      </c>
      <c r="H68" s="129">
        <f t="shared" si="3"/>
        <v>2011</v>
      </c>
      <c r="I68" s="129">
        <f t="shared" si="3"/>
        <v>2012</v>
      </c>
      <c r="J68" s="129">
        <f t="shared" si="3"/>
        <v>2013</v>
      </c>
      <c r="K68" s="129">
        <f t="shared" si="3"/>
        <v>2014</v>
      </c>
      <c r="L68" s="129">
        <f t="shared" si="3"/>
        <v>2015</v>
      </c>
      <c r="M68" s="129">
        <f t="shared" si="3"/>
        <v>2016</v>
      </c>
      <c r="N68" s="129">
        <f t="shared" ref="N68" si="4">N59</f>
        <v>2017</v>
      </c>
    </row>
    <row r="69" spans="1:14" x14ac:dyDescent="0.3">
      <c r="A69" s="124" t="str">
        <f t="shared" ref="A69:A75" si="5">A60</f>
        <v xml:space="preserve">Coal </v>
      </c>
      <c r="B69" s="130">
        <f>'Fossil Fuel Emissions'!E34</f>
        <v>15242409.406496</v>
      </c>
      <c r="C69" s="130">
        <f>'Fossil Fuel Emissions'!F34</f>
        <v>14689298.414511999</v>
      </c>
      <c r="D69" s="130">
        <f>'Fossil Fuel Emissions'!G34</f>
        <v>15247596.684607999</v>
      </c>
      <c r="E69" s="130">
        <f>'Fossil Fuel Emissions'!H34</f>
        <v>15080297.440064</v>
      </c>
      <c r="F69" s="130">
        <f>'Fossil Fuel Emissions'!I34</f>
        <v>14682677.78568</v>
      </c>
      <c r="G69" s="130">
        <f>'Fossil Fuel Emissions'!J34</f>
        <v>15827326.205109937</v>
      </c>
      <c r="H69" s="130">
        <f>'Fossil Fuel Emissions'!K34</f>
        <v>12819569.41112176</v>
      </c>
      <c r="I69" s="130">
        <f>'Fossil Fuel Emissions'!L34</f>
        <v>12079471.089130031</v>
      </c>
      <c r="J69" s="130">
        <f>'Fossil Fuel Emissions'!M34</f>
        <v>13342772.798256448</v>
      </c>
      <c r="K69" s="130">
        <f>'Fossil Fuel Emissions'!N34</f>
        <v>13960488.224955324</v>
      </c>
      <c r="L69" s="130">
        <f>'Fossil Fuel Emissions'!O34</f>
        <v>14032474.042640399</v>
      </c>
      <c r="M69" s="130">
        <f>'Fossil Fuel Emissions'!P34</f>
        <v>12506497.59096</v>
      </c>
      <c r="N69" s="130">
        <f>'Fossil Fuel Emissions'!Q34</f>
        <v>11995524.376798607</v>
      </c>
    </row>
    <row r="70" spans="1:14" x14ac:dyDescent="0.3">
      <c r="A70" s="124" t="str">
        <f t="shared" si="5"/>
        <v>Natural Gas</v>
      </c>
      <c r="B70" s="130">
        <f>'Fossil Fuel Emissions'!E35</f>
        <v>3613387.353904</v>
      </c>
      <c r="C70" s="130">
        <f>'Fossil Fuel Emissions'!F35</f>
        <v>3347625.0795519999</v>
      </c>
      <c r="D70" s="130">
        <f>'Fossil Fuel Emissions'!G35</f>
        <v>3838809.877328</v>
      </c>
      <c r="E70" s="130">
        <f>'Fossil Fuel Emissions'!H35</f>
        <v>3628227.9769600001</v>
      </c>
      <c r="F70" s="130">
        <f>'Fossil Fuel Emissions'!I35</f>
        <v>4803429.5107359998</v>
      </c>
      <c r="G70" s="130">
        <f>'Fossil Fuel Emissions'!J35</f>
        <v>4837497.996647872</v>
      </c>
      <c r="H70" s="130">
        <f>'Fossil Fuel Emissions'!K35</f>
        <v>2795901.5066548958</v>
      </c>
      <c r="I70" s="130">
        <f>'Fossil Fuel Emissions'!L35</f>
        <v>2945464.0185191678</v>
      </c>
      <c r="J70" s="130">
        <f>'Fossil Fuel Emissions'!M35</f>
        <v>4814303.0698694875</v>
      </c>
      <c r="K70" s="130">
        <f>'Fossil Fuel Emissions'!N35</f>
        <v>4160160.2806361374</v>
      </c>
      <c r="L70" s="130">
        <f>'Fossil Fuel Emissions'!O35</f>
        <v>4913807.1550059998</v>
      </c>
      <c r="M70" s="130">
        <f>'Fossil Fuel Emissions'!P35</f>
        <v>4276185.9633280002</v>
      </c>
      <c r="N70" s="130">
        <f>'Fossil Fuel Emissions'!Q35</f>
        <v>4160318.9087579041</v>
      </c>
    </row>
    <row r="71" spans="1:14" x14ac:dyDescent="0.3">
      <c r="A71" s="124" t="str">
        <f t="shared" si="5"/>
        <v xml:space="preserve">Waste </v>
      </c>
      <c r="B71" s="130">
        <f>'Fossil Fuel Emissions'!E36</f>
        <v>213614.61648</v>
      </c>
      <c r="C71" s="130">
        <f>'Fossil Fuel Emissions'!F36</f>
        <v>120123.862176</v>
      </c>
      <c r="D71" s="130">
        <f>'Fossil Fuel Emissions'!G36</f>
        <v>121446.536448</v>
      </c>
      <c r="E71" s="130">
        <f>'Fossil Fuel Emissions'!H36</f>
        <v>111071.07304</v>
      </c>
      <c r="F71" s="130">
        <f>'Fossil Fuel Emissions'!I36</f>
        <v>116473.35376</v>
      </c>
      <c r="G71" s="130">
        <f>'Fossil Fuel Emissions'!J36</f>
        <v>126620.470790544</v>
      </c>
      <c r="H71" s="130">
        <f>'Fossil Fuel Emissions'!K36</f>
        <v>133231.62045692801</v>
      </c>
      <c r="I71" s="130">
        <f>'Fossil Fuel Emissions'!L36</f>
        <v>91814.114071696007</v>
      </c>
      <c r="J71" s="130">
        <f>'Fossil Fuel Emissions'!M36</f>
        <v>72659.255033855996</v>
      </c>
      <c r="K71" s="130">
        <f>'Fossil Fuel Emissions'!N36</f>
        <v>95248.16012044021</v>
      </c>
      <c r="L71" s="130">
        <f>'Fossil Fuel Emissions'!O36</f>
        <v>99681.47589587199</v>
      </c>
      <c r="M71" s="130">
        <f>'Fossil Fuel Emissions'!P36</f>
        <v>99231.414655999994</v>
      </c>
      <c r="N71" s="130">
        <f>'Fossil Fuel Emissions'!Q36</f>
        <v>98767.592342032003</v>
      </c>
    </row>
    <row r="72" spans="1:14" x14ac:dyDescent="0.3">
      <c r="A72" s="124" t="str">
        <f t="shared" si="5"/>
        <v>Petroleum</v>
      </c>
      <c r="B72" s="130">
        <f>'Fossil Fuel Emissions'!E37</f>
        <v>36660.212624</v>
      </c>
      <c r="C72" s="130">
        <f>'Fossil Fuel Emissions'!F37</f>
        <v>85151.011792000005</v>
      </c>
      <c r="D72" s="130">
        <f>'Fossil Fuel Emissions'!G37</f>
        <v>95642.594752000005</v>
      </c>
      <c r="E72" s="130">
        <f>'Fossil Fuel Emissions'!H37</f>
        <v>101177.32433600001</v>
      </c>
      <c r="F72" s="130">
        <f>'Fossil Fuel Emissions'!I37</f>
        <v>121059.16888</v>
      </c>
      <c r="G72" s="130">
        <f>'Fossil Fuel Emissions'!J37</f>
        <v>109241.853530736</v>
      </c>
      <c r="H72" s="130">
        <f>'Fossil Fuel Emissions'!K37</f>
        <v>69615.901282271996</v>
      </c>
      <c r="I72" s="130">
        <f>'Fossil Fuel Emissions'!L37</f>
        <v>68633.781162319996</v>
      </c>
      <c r="J72" s="130">
        <f>'Fossil Fuel Emissions'!M37</f>
        <v>67692.478879264003</v>
      </c>
      <c r="K72" s="130">
        <f>'Fossil Fuel Emissions'!N37</f>
        <v>60577.017725942176</v>
      </c>
      <c r="L72" s="130">
        <f>'Fossil Fuel Emissions'!O37</f>
        <v>72262.953517823989</v>
      </c>
      <c r="M72" s="130">
        <f>'Fossil Fuel Emissions'!P37</f>
        <v>60168.978799999997</v>
      </c>
      <c r="N72" s="130">
        <f>'Fossil Fuel Emissions'!Q37</f>
        <v>71829.921935999999</v>
      </c>
    </row>
    <row r="73" spans="1:14" x14ac:dyDescent="0.3">
      <c r="A73" s="124" t="str">
        <f t="shared" si="5"/>
        <v xml:space="preserve">Landfill Gases </v>
      </c>
      <c r="B73" s="130">
        <f>'Fossil Fuel Emissions'!E38</f>
        <v>0</v>
      </c>
      <c r="C73" s="130">
        <f>'Fossil Fuel Emissions'!F38</f>
        <v>30774.402832</v>
      </c>
      <c r="D73" s="130">
        <f>'Fossil Fuel Emissions'!G38</f>
        <v>25596.19656</v>
      </c>
      <c r="E73" s="130">
        <f>'Fossil Fuel Emissions'!H38</f>
        <v>13010.832928</v>
      </c>
      <c r="F73" s="130">
        <f>'Fossil Fuel Emissions'!I38</f>
        <v>9086.3549440000006</v>
      </c>
      <c r="G73" s="130">
        <f>'Fossil Fuel Emissions'!J38</f>
        <v>9701.080058896001</v>
      </c>
      <c r="H73" s="130">
        <f>'Fossil Fuel Emissions'!K38</f>
        <v>30748.248717279999</v>
      </c>
      <c r="I73" s="130">
        <f>'Fossil Fuel Emissions'!L38</f>
        <v>52341.306275824005</v>
      </c>
      <c r="J73" s="130">
        <f>'Fossil Fuel Emissions'!M38</f>
        <v>39350.120231712004</v>
      </c>
      <c r="K73" s="130">
        <f>'Fossil Fuel Emissions'!N38</f>
        <v>68490.298616143773</v>
      </c>
      <c r="L73" s="130">
        <f>'Fossil Fuel Emissions'!O38</f>
        <v>66495.947635279997</v>
      </c>
      <c r="M73" s="130">
        <f>'Fossil Fuel Emissions'!P38</f>
        <v>60927.384623999998</v>
      </c>
      <c r="N73" s="130">
        <f>'Fossil Fuel Emissions'!Q38</f>
        <v>67908.236264351988</v>
      </c>
    </row>
    <row r="74" spans="1:14" x14ac:dyDescent="0.3">
      <c r="A74" s="124" t="str">
        <f t="shared" si="5"/>
        <v>Other</v>
      </c>
      <c r="B74" s="130">
        <f>'Fossil Fuel Emissions'!E39</f>
        <v>0</v>
      </c>
      <c r="C74" s="130">
        <f>'Fossil Fuel Emissions'!F39</f>
        <v>3293.9851039999999</v>
      </c>
      <c r="D74" s="130">
        <f>'Fossil Fuel Emissions'!G39</f>
        <v>4498.7254560000001</v>
      </c>
      <c r="E74" s="130">
        <f>'Fossil Fuel Emissions'!H39</f>
        <v>0</v>
      </c>
      <c r="F74" s="130">
        <f>'Fossil Fuel Emissions'!I39</f>
        <v>0</v>
      </c>
      <c r="G74" s="130">
        <f>'Fossil Fuel Emissions'!J39</f>
        <v>0</v>
      </c>
      <c r="H74" s="130">
        <f>'Fossil Fuel Emissions'!K39</f>
        <v>0</v>
      </c>
      <c r="I74" s="130">
        <f>'Fossil Fuel Emissions'!L39</f>
        <v>0</v>
      </c>
      <c r="J74" s="130">
        <f>'Fossil Fuel Emissions'!M39</f>
        <v>0</v>
      </c>
      <c r="K74" s="130">
        <f>'Fossil Fuel Emissions'!N39</f>
        <v>0</v>
      </c>
      <c r="L74" s="130">
        <f>'Fossil Fuel Emissions'!O39</f>
        <v>0</v>
      </c>
      <c r="M74" s="130">
        <f>'Fossil Fuel Emissions'!P39</f>
        <v>92689.710831999997</v>
      </c>
      <c r="N74" s="130">
        <f>'Fossil Fuel Emissions'!Q39</f>
        <v>63467.499823999999</v>
      </c>
    </row>
    <row r="75" spans="1:14" x14ac:dyDescent="0.3">
      <c r="A75" s="124" t="str">
        <f t="shared" si="5"/>
        <v>Total (short tons)</v>
      </c>
      <c r="B75" s="131">
        <f>'Fossil Fuel Emissions'!E40</f>
        <v>19108076.589504</v>
      </c>
      <c r="C75" s="131">
        <f>'Fossil Fuel Emissions'!F40</f>
        <v>18276266.755968001</v>
      </c>
      <c r="D75" s="131">
        <f>'Fossil Fuel Emissions'!G40</f>
        <v>19333590.615152001</v>
      </c>
      <c r="E75" s="131">
        <f>'Fossil Fuel Emissions'!H40</f>
        <v>18933784.647328001</v>
      </c>
      <c r="F75" s="131">
        <f>'Fossil Fuel Emissions'!I40</f>
        <v>19732726.173999999</v>
      </c>
      <c r="G75" s="131">
        <f>'Fossil Fuel Emissions'!J40</f>
        <v>20910387.606137984</v>
      </c>
      <c r="H75" s="131">
        <f>'Fossil Fuel Emissions'!K40</f>
        <v>15849066.688233137</v>
      </c>
      <c r="I75" s="131">
        <f>'Fossil Fuel Emissions'!L40</f>
        <v>15237724.309159039</v>
      </c>
      <c r="J75" s="131">
        <f>'Fossil Fuel Emissions'!M40</f>
        <v>18336777.722270764</v>
      </c>
      <c r="K75" s="131">
        <f>'Fossil Fuel Emissions'!N40</f>
        <v>18344963.982053984</v>
      </c>
      <c r="L75" s="131">
        <f>'Fossil Fuel Emissions'!O40</f>
        <v>19184721.574695379</v>
      </c>
      <c r="M75" s="131">
        <f>'Fossil Fuel Emissions'!P40</f>
        <v>17095701.043200001</v>
      </c>
      <c r="N75" s="131">
        <f>'Fossil Fuel Emissions'!Q40</f>
        <v>16457816.535922898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Publish To Web</vt:lpstr>
      <vt:lpstr>State Agg Fuel Mix 2000-2017</vt:lpstr>
      <vt:lpstr>Fossil Fuel Emissions</vt:lpstr>
      <vt:lpstr>Updates</vt:lpstr>
      <vt:lpstr>Tables</vt:lpstr>
    </vt:vector>
  </TitlesOfParts>
  <Company>Acer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Research Analyst</dc:title>
  <dc:subject>fuel mix disclosure</dc:subject>
  <dc:creator>Angela Burrell</dc:creator>
  <cp:keywords>fuel mix, power label,</cp:keywords>
  <cp:lastModifiedBy>Nothstein, Greg (COM)</cp:lastModifiedBy>
  <dcterms:created xsi:type="dcterms:W3CDTF">2011-01-14T05:01:36Z</dcterms:created>
  <dcterms:modified xsi:type="dcterms:W3CDTF">2018-12-05T19:04:18Z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INKTEK--2|01BE-72E7-C26E-CF28--0||">
    <vt:lpwstr>LINKTEK-ID-FILE--0</vt:lpwstr>
  </property>
</Properties>
</file>